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0" windowWidth="18960" windowHeight="7815"/>
  </bookViews>
  <sheets>
    <sheet name="MAX16990_2" sheetId="4" r:id="rId1"/>
    <sheet name="Graph_data" sheetId="5" state="hidden" r:id="rId2"/>
    <sheet name="support" sheetId="1" r:id="rId3"/>
    <sheet name="STANDARD RESISTOR TABLE" sheetId="6" r:id="rId4"/>
    <sheet name="Bode Plots" sheetId="2" r:id="rId5"/>
  </sheets>
  <externalReferences>
    <externalReference r:id="rId6"/>
  </externalReferences>
  <definedNames>
    <definedName name="_R10">[1]MAX16948!$F$49</definedName>
    <definedName name="_R10_Std">[1]MAX16948!$F$52</definedName>
    <definedName name="_R10Max">'[1]MAX16948 EC'!$F$28</definedName>
    <definedName name="_R10Min">'[1]MAX16948 EC'!$E$28</definedName>
    <definedName name="_R12Tol">[1]MAX16948!$C$9</definedName>
    <definedName name="_R1Max">'[1]MAX16948 EC'!$F$2</definedName>
    <definedName name="_R1Min">'[1]MAX16948 EC'!$E$2</definedName>
    <definedName name="_R1Std">[1]MAX16948!$C$11</definedName>
    <definedName name="_R2Max">'[1]MAX16948 EC'!$F$4</definedName>
    <definedName name="_R2Min">'[1]MAX16948 EC'!$E$4</definedName>
    <definedName name="_R2Std">[1]MAX16948!$C$8</definedName>
    <definedName name="_R34Tol">[1]MAX16948!$F$9</definedName>
    <definedName name="_R3Max">'[1]MAX16948 EC'!$F$6</definedName>
    <definedName name="_R3Min">'[1]MAX16948 EC'!$E$6</definedName>
    <definedName name="_R3Std">[1]MAX16948!$F$11</definedName>
    <definedName name="_R4Max">'[1]MAX16948 EC'!$F$8</definedName>
    <definedName name="_R4Min">'[1]MAX16948 EC'!$E$8</definedName>
    <definedName name="_R4Std">[1]MAX16948!$F$8</definedName>
    <definedName name="_R5_6_7_Tol">[1]MAX16948!$C$46</definedName>
    <definedName name="_R5_Std">[1]MAX16948!$C$50</definedName>
    <definedName name="_R6">[1]MAX16948!$C$48</definedName>
    <definedName name="_R6_Std">[1]MAX16948!$C$51</definedName>
    <definedName name="_R6Max">'[1]MAX16948 EC'!$F$20</definedName>
    <definedName name="_R6Min">'[1]MAX16948 EC'!$E$20</definedName>
    <definedName name="_R7">[1]MAX16948!$C$49</definedName>
    <definedName name="_R7_Std">[1]MAX16948!$C$52</definedName>
    <definedName name="_R7Max">'[1]MAX16948 EC'!$F$22</definedName>
    <definedName name="_R7Min">'[1]MAX16948 EC'!$E$22</definedName>
    <definedName name="_R8_9_10_Tol">[1]MAX16948!$F$46</definedName>
    <definedName name="_R9">[1]MAX16948!$F$48</definedName>
    <definedName name="_R9_Std">[1]MAX16948!$F$51</definedName>
    <definedName name="_R9Max">'[1]MAX16948 EC'!$F$26</definedName>
    <definedName name="_R9Min">'[1]MAX16948 EC'!$E$26</definedName>
    <definedName name="A_Max">'[1]MAX16948 EC'!$C$6</definedName>
    <definedName name="A_Min">'[1]MAX16948 EC'!$A$6</definedName>
    <definedName name="A_Typ">'[1]MAX16948 EC'!$B$6</definedName>
    <definedName name="Acm">MAX16990_2!$S$26</definedName>
    <definedName name="AddPole">MAX16990_2!$S$13</definedName>
    <definedName name="Aea">MAX16990_2!$S$30</definedName>
    <definedName name="Afb">MAX16990_2!$S$31</definedName>
    <definedName name="Ccomp">MAX16990_2!$S$11</definedName>
    <definedName name="Ccomp2">MAX16990_2!$S$14</definedName>
    <definedName name="CO">MAX16990_2!$S$8</definedName>
    <definedName name="Cosc">MAX16990_2!#REF!</definedName>
    <definedName name="Cosc_calc">MAX16990_2!#REF!</definedName>
    <definedName name="Cout_cal">MAX16990_2!$J$29</definedName>
    <definedName name="CS_gain">support!$B$12</definedName>
    <definedName name="Cslope">MAX16990_2!$L$34</definedName>
    <definedName name="Cslope_calc">MAX16990_2!$K$34</definedName>
    <definedName name="D">MAX16990_2!$K$6</definedName>
    <definedName name="DC_gain">MAX16990_2!$S$35</definedName>
    <definedName name="Dcomp">MAX16990_2!$S$17</definedName>
    <definedName name="Dmn">MAX16990_2!$J$6</definedName>
    <definedName name="Dmx">MAX16990_2!$L$6</definedName>
    <definedName name="E">MAX16990_2!$D$12</definedName>
    <definedName name="ESR">MAX16990_2!$S$9</definedName>
    <definedName name="ESRcout_calc">MAX16990_2!$L$30</definedName>
    <definedName name="F">MAX16990_2!$D$11</definedName>
    <definedName name="Fco">Graph_data!$X$5</definedName>
    <definedName name="Fco_t">MAX16990_2!$S$10</definedName>
    <definedName name="Fmn">Graph_data!$B$1</definedName>
    <definedName name="Fmx">Graph_data!$B$2</definedName>
    <definedName name="Fp2ea">MAX16990_2!$S$34</definedName>
    <definedName name="Fpea">MAX16990_2!$S$33</definedName>
    <definedName name="Fpload">MAX16990_2!$S$29</definedName>
    <definedName name="Fzea">MAX16990_2!$S$32</definedName>
    <definedName name="Fzesr">MAX16990_2!$S$27</definedName>
    <definedName name="Fzrhp">MAX16990_2!$S$28</definedName>
    <definedName name="gm">support!$B$10</definedName>
    <definedName name="IC">MAX16990_2!$D$6</definedName>
    <definedName name="Ic_mx">MAX16990_2!$L$8</definedName>
    <definedName name="Icin_rms">MAX16990_2!$K$28</definedName>
    <definedName name="Icin_rms_mx">MAX16990_2!$L$28</definedName>
    <definedName name="Id_avg">MAX16990_2!$K$18</definedName>
    <definedName name="Id_avg_mx">MAX16990_2!$L$18</definedName>
    <definedName name="Iin">MAX16990_2!#REF!</definedName>
    <definedName name="Iin_mn">MAX16990_2!#REF!</definedName>
    <definedName name="Iin_mx">MAX16990_2!#REF!</definedName>
    <definedName name="IL_avg">MAX16990_2!$K$9</definedName>
    <definedName name="IL_avg_mn">MAX16990_2!$J$9</definedName>
    <definedName name="IL_avg_mx">MAX16990_2!$L$9</definedName>
    <definedName name="IL_pk">MAX16990_2!$K$12</definedName>
    <definedName name="IL_pk_mx">MAX16990_2!$L$12</definedName>
    <definedName name="IL_pp">MAX16990_2!$K$10</definedName>
    <definedName name="IL_pp_mn">MAX16990_2!$J$10</definedName>
    <definedName name="IL_pp_mx">MAX16990_2!$L$10</definedName>
    <definedName name="IL_rms">MAX16990_2!$K$14</definedName>
    <definedName name="IL_rms_mx">MAX16990_2!$L$14</definedName>
    <definedName name="IL_v">MAX16990_2!$K$13</definedName>
    <definedName name="IL_v_mx">MAX16990_2!$L$13</definedName>
    <definedName name="ILIM1_MAX">[1]MAX16948!$C$19</definedName>
    <definedName name="ILIM2_MAX">[1]MAX16948!$F$19</definedName>
    <definedName name="Io">MAX16990_2!$D$9</definedName>
    <definedName name="Io_lim">MAX16990_2!#REF!</definedName>
    <definedName name="Io_lim_mn">MAX16990_2!#REF!</definedName>
    <definedName name="Io_lim_mx">MAX16990_2!#REF!</definedName>
    <definedName name="Io_mn">MAX16990_2!$C$9</definedName>
    <definedName name="Io_mx">MAX16990_2!$E$9</definedName>
    <definedName name="IOC1_Typ">[1]MAX16948!$C$43</definedName>
    <definedName name="IOC2_Typ">[1]MAX16948!$F$43</definedName>
    <definedName name="IOL1_Typ">[1]MAX16948!$C$42</definedName>
    <definedName name="IOL2_Typ">[1]MAX16948!$F$42</definedName>
    <definedName name="Ioutc">MAX16990_2!$S$7</definedName>
    <definedName name="Iq_rms">MAX16990_2!$K$22</definedName>
    <definedName name="Iq_rms_mx">MAX16990_2!$L$22</definedName>
    <definedName name="Islope">support!$C$7</definedName>
    <definedName name="Islope_mn">support!$B$7</definedName>
    <definedName name="Islope_mx">support!$D$7</definedName>
    <definedName name="Kr">MAX16990_2!$K$11</definedName>
    <definedName name="Kr_mx">MAX16990_2!$L$11</definedName>
    <definedName name="L">MAX16990_2!$D$15</definedName>
    <definedName name="Lc">MAX16990_2!#REF!</definedName>
    <definedName name="Lc_mx">MAX16990_2!$L$7</definedName>
    <definedName name="Lmn">MAX16990_2!$C$15</definedName>
    <definedName name="Lmx">MAX16990_2!$E$15</definedName>
    <definedName name="N">Graph_data!$B$3</definedName>
    <definedName name="Pd">MAX16990_2!$K$19</definedName>
    <definedName name="Pd_mx">MAX16990_2!$L$19</definedName>
    <definedName name="PL">MAX16990_2!$K$15</definedName>
    <definedName name="PL_mx">MAX16990_2!$L$15</definedName>
    <definedName name="PM">Graph_data!$Y$5</definedName>
    <definedName name="Pq">MAX16990_2!$K$23</definedName>
    <definedName name="Pq_cond">MAX16990_2!$K$23</definedName>
    <definedName name="Pq_cond_mx">MAX16990_2!$L$23</definedName>
    <definedName name="Pq_mx">MAX16990_2!$L$25</definedName>
    <definedName name="Pq_sw">MAX16990_2!$K$24</definedName>
    <definedName name="Pq_sw_mx">MAX16990_2!$L$24</definedName>
    <definedName name="PRs">MAX16990_2!$K$33</definedName>
    <definedName name="PRs_mx">MAX16990_2!$L$33</definedName>
    <definedName name="Q">MAX16990_2!$S$19</definedName>
    <definedName name="r_mx">MAX16990_2!$L$11</definedName>
    <definedName name="Rcomp">MAX16990_2!$S$12</definedName>
    <definedName name="Rds_on">MAX16990_2!$E$13</definedName>
    <definedName name="Rds_on_mx">MAX16990_2!$E$13</definedName>
    <definedName name="RL">MAX16990_2!$D$16</definedName>
    <definedName name="RL_mx">MAX16990_2!$E$16</definedName>
    <definedName name="RLIM_Std">[1]MAX16948!#REF!</definedName>
    <definedName name="RLIM1_Std">[1]MAX16948!$C$22</definedName>
    <definedName name="RLIM1_to">[1]MAX16948!#REF!</definedName>
    <definedName name="RLIM1_Tol">[1]MAX16948!#REF!</definedName>
    <definedName name="RLIM1Max">'[1]MAX16948 EC'!$F$10</definedName>
    <definedName name="RLIM1Min">'[1]MAX16948 EC'!$E$10</definedName>
    <definedName name="RLIM1Tol">[1]MAX16948!$C$20</definedName>
    <definedName name="RLIM2_Std">[1]MAX16948!$F$22</definedName>
    <definedName name="RLIM2_Tol">[1]MAX16948!#REF!</definedName>
    <definedName name="RLIM2Max">'[1]MAX16948 EC'!$F$12</definedName>
    <definedName name="RLIM2Min">'[1]MAX16948 EC'!$E$12</definedName>
    <definedName name="RLIM2Tol">[1]MAX16948!$F$20</definedName>
    <definedName name="RO">MAX16990_2!$S$18</definedName>
    <definedName name="Rosc">MAX16990_2!$D$21</definedName>
    <definedName name="Rosc_calc">MAX16990_2!$K$35</definedName>
    <definedName name="Rout">support!$B$11</definedName>
    <definedName name="Rs_calc">MAX16990_2!$L$32</definedName>
    <definedName name="Rsense">MAX16990_2!$D$22</definedName>
    <definedName name="Rsense_mn">MAX16990_2!$C$22</definedName>
    <definedName name="Rsense_mx">MAX16990_2!$E$22</definedName>
    <definedName name="RSENSE1_Max">'[1]MAX16948 EC'!$F$14</definedName>
    <definedName name="RSENSE1_Min">'[1]MAX16948 EC'!$E$14</definedName>
    <definedName name="RSENSE1_Tol">[1]MAX16948!$C$31</definedName>
    <definedName name="RSENSE1Std">[1]MAX16948!$C$33</definedName>
    <definedName name="RSENSE2_Max">'[1]MAX16948 EC'!$F$16</definedName>
    <definedName name="RSENSE2_Min">'[1]MAX16948 EC'!$E$16</definedName>
    <definedName name="RSENSE2_Tol">[1]MAX16948!$F$31</definedName>
    <definedName name="RSENSE2Std">[1]MAX16948!$F$33</definedName>
    <definedName name="Rslope">MAX16990_2!$D$23</definedName>
    <definedName name="Rslope_mn">MAX16990_2!$C$23</definedName>
    <definedName name="Rslope_mx">MAX16990_2!$E$23</definedName>
    <definedName name="Scomp">#REF!</definedName>
    <definedName name="Se">MAX16990_2!$S$37</definedName>
    <definedName name="SL">#REF!</definedName>
    <definedName name="Sn">MAX16990_2!$S$36</definedName>
    <definedName name="Tqsw">MAX16990_2!$D$14</definedName>
    <definedName name="VADCFS1__TYP">[1]MAX16948!$C$30</definedName>
    <definedName name="VADCFS2__TYP">[1]MAX16948!$F$30</definedName>
    <definedName name="Vd">MAX16990_2!$D$10</definedName>
    <definedName name="Vd_mn">MAX16990_2!$C$10</definedName>
    <definedName name="Vd_mx">MAX16990_2!$E$10</definedName>
    <definedName name="Vd_rev">MAX16990_2!#REF!</definedName>
    <definedName name="VFBMax">'[1]MAX16948 EC'!$C$2</definedName>
    <definedName name="VFBMin">'[1]MAX16948 EC'!$A$2</definedName>
    <definedName name="VFBtyp">'[1]MAX16948 EC'!$B$2</definedName>
    <definedName name="VI">MAX16990_2!$S$6</definedName>
    <definedName name="Vin">MAX16990_2!$D$7</definedName>
    <definedName name="Vin_mn">MAX16990_2!$C$7</definedName>
    <definedName name="Vin_mx">MAX16990_2!$E$7</definedName>
    <definedName name="Vin_rip_c">MAX16990_2!#REF!</definedName>
    <definedName name="Vin_rip_esr">MAX16990_2!#REF!</definedName>
    <definedName name="Vin_rip_mx">MAX16990_2!$E$17</definedName>
    <definedName name="VLIM_Max">'[1]MAX16948 EC'!$C$4</definedName>
    <definedName name="VLIM_Min">'[1]MAX16948 EC'!$A$4</definedName>
    <definedName name="Vlim_mn">support!$B$6</definedName>
    <definedName name="VLIM_Typ">'[1]MAX16948 EC'!$B$4</definedName>
    <definedName name="Vo">MAX16990_2!$D$8</definedName>
    <definedName name="Vo_rip_c">MAX16990_2!#REF!</definedName>
    <definedName name="Vo_rip_esr">MAX16990_2!#REF!</definedName>
    <definedName name="Vo_rip_mx">MAX16990_2!$E$18</definedName>
    <definedName name="VOC1_TH">[1]MAX16948!$C$45</definedName>
    <definedName name="VOC2_TH">[1]MAX16948!$F$45</definedName>
    <definedName name="VOL1_TH">[1]MAX16948!$C$44</definedName>
    <definedName name="VOL2_TH">[1]MAX16948!$F$44</definedName>
    <definedName name="Vout1">[1]MAX16948!$C$7</definedName>
    <definedName name="Vout2">[1]MAX16948!$F$7</definedName>
    <definedName name="Vref">MAX16990_2!$D$19</definedName>
  </definedNames>
  <calcPr calcId="145621"/>
</workbook>
</file>

<file path=xl/calcChain.xml><?xml version="1.0" encoding="utf-8"?>
<calcChain xmlns="http://schemas.openxmlformats.org/spreadsheetml/2006/main">
  <c r="L30" i="4" l="1"/>
  <c r="S24" i="4"/>
  <c r="S33" i="4"/>
  <c r="S17" i="4"/>
  <c r="K39" i="4"/>
  <c r="S18" i="4" l="1"/>
  <c r="S29" i="4" s="1"/>
  <c r="S27" i="4"/>
  <c r="S25" i="4" s="1"/>
  <c r="S37" i="4"/>
  <c r="A8" i="5"/>
  <c r="A9" i="5" s="1"/>
  <c r="B7" i="5"/>
  <c r="S36" i="4"/>
  <c r="S38" i="4"/>
  <c r="S34" i="4"/>
  <c r="Q5" i="5" s="1"/>
  <c r="O5" i="5"/>
  <c r="S32" i="4"/>
  <c r="M5" i="5" s="1"/>
  <c r="S31" i="4"/>
  <c r="S30" i="4"/>
  <c r="C5" i="5" l="1"/>
  <c r="O7" i="5"/>
  <c r="S28" i="4"/>
  <c r="F7" i="5" s="1"/>
  <c r="A10" i="5"/>
  <c r="B9" i="5"/>
  <c r="N7" i="5"/>
  <c r="M7" i="5"/>
  <c r="D7" i="5"/>
  <c r="P7" i="5"/>
  <c r="X7" i="5"/>
  <c r="R7" i="5"/>
  <c r="Q7" i="5"/>
  <c r="C7" i="5"/>
  <c r="B8" i="5"/>
  <c r="G5" i="5"/>
  <c r="S7" i="5" l="1"/>
  <c r="H7" i="5"/>
  <c r="G7" i="5"/>
  <c r="E5" i="5"/>
  <c r="S20" i="4"/>
  <c r="E7" i="5"/>
  <c r="R8" i="5"/>
  <c r="N8" i="5"/>
  <c r="F8" i="5"/>
  <c r="X8" i="5"/>
  <c r="P8" i="5"/>
  <c r="H8" i="5"/>
  <c r="D8" i="5"/>
  <c r="M8" i="5"/>
  <c r="E8" i="5"/>
  <c r="O8" i="5"/>
  <c r="G8" i="5"/>
  <c r="C8" i="5"/>
  <c r="Q8" i="5"/>
  <c r="A11" i="5"/>
  <c r="B10" i="5"/>
  <c r="Q9" i="5"/>
  <c r="M9" i="5"/>
  <c r="E9" i="5"/>
  <c r="O9" i="5"/>
  <c r="G9" i="5"/>
  <c r="C9" i="5"/>
  <c r="H9" i="5"/>
  <c r="R9" i="5"/>
  <c r="N9" i="5"/>
  <c r="F9" i="5"/>
  <c r="X9" i="5"/>
  <c r="P9" i="5"/>
  <c r="D9" i="5"/>
  <c r="T7" i="5"/>
  <c r="T8" i="5" l="1"/>
  <c r="X10" i="5"/>
  <c r="P10" i="5"/>
  <c r="H10" i="5"/>
  <c r="D10" i="5"/>
  <c r="R10" i="5"/>
  <c r="O10" i="5"/>
  <c r="G10" i="5"/>
  <c r="C10" i="5"/>
  <c r="Q10" i="5"/>
  <c r="M10" i="5"/>
  <c r="E10" i="5"/>
  <c r="N10" i="5"/>
  <c r="F10" i="5"/>
  <c r="T9" i="5"/>
  <c r="S8" i="5"/>
  <c r="A12" i="5"/>
  <c r="B11" i="5"/>
  <c r="S9" i="5"/>
  <c r="T10" i="5" l="1"/>
  <c r="O11" i="5"/>
  <c r="G11" i="5"/>
  <c r="C11" i="5"/>
  <c r="Q11" i="5"/>
  <c r="R11" i="5"/>
  <c r="X11" i="5"/>
  <c r="P11" i="5"/>
  <c r="H11" i="5"/>
  <c r="D11" i="5"/>
  <c r="M11" i="5"/>
  <c r="E11" i="5"/>
  <c r="N11" i="5"/>
  <c r="F11" i="5"/>
  <c r="S10" i="5"/>
  <c r="A13" i="5"/>
  <c r="B12" i="5"/>
  <c r="R12" i="5" l="1"/>
  <c r="N12" i="5"/>
  <c r="F12" i="5"/>
  <c r="X12" i="5"/>
  <c r="P12" i="5"/>
  <c r="H12" i="5"/>
  <c r="Q12" i="5"/>
  <c r="O12" i="5"/>
  <c r="G12" i="5"/>
  <c r="C12" i="5"/>
  <c r="D12" i="5"/>
  <c r="M12" i="5"/>
  <c r="E12" i="5"/>
  <c r="A14" i="5"/>
  <c r="B13" i="5"/>
  <c r="T11" i="5"/>
  <c r="S11" i="5"/>
  <c r="S12" i="5" l="1"/>
  <c r="A15" i="5"/>
  <c r="B14" i="5"/>
  <c r="Q13" i="5"/>
  <c r="M13" i="5"/>
  <c r="E13" i="5"/>
  <c r="O13" i="5"/>
  <c r="G13" i="5"/>
  <c r="C13" i="5"/>
  <c r="X13" i="5"/>
  <c r="P13" i="5"/>
  <c r="D13" i="5"/>
  <c r="R13" i="5"/>
  <c r="N13" i="5"/>
  <c r="F13" i="5"/>
  <c r="H13" i="5"/>
  <c r="T12" i="5"/>
  <c r="X14" i="5" l="1"/>
  <c r="P14" i="5"/>
  <c r="H14" i="5"/>
  <c r="D14" i="5"/>
  <c r="R14" i="5"/>
  <c r="Q14" i="5"/>
  <c r="M14" i="5"/>
  <c r="E14" i="5"/>
  <c r="N14" i="5"/>
  <c r="F14" i="5"/>
  <c r="O14" i="5"/>
  <c r="G14" i="5"/>
  <c r="C14" i="5"/>
  <c r="A16" i="5"/>
  <c r="B15" i="5"/>
  <c r="T13" i="5"/>
  <c r="S13" i="5"/>
  <c r="O15" i="5" l="1"/>
  <c r="G15" i="5"/>
  <c r="C15" i="5"/>
  <c r="Q15" i="5"/>
  <c r="N15" i="5"/>
  <c r="F15" i="5"/>
  <c r="X15" i="5"/>
  <c r="P15" i="5"/>
  <c r="H15" i="5"/>
  <c r="D15" i="5"/>
  <c r="M15" i="5"/>
  <c r="E15" i="5"/>
  <c r="R15" i="5"/>
  <c r="T14" i="5"/>
  <c r="A17" i="5"/>
  <c r="B16" i="5"/>
  <c r="S14" i="5"/>
  <c r="A18" i="5" l="1"/>
  <c r="B17" i="5"/>
  <c r="T15" i="5"/>
  <c r="R16" i="5"/>
  <c r="N16" i="5"/>
  <c r="F16" i="5"/>
  <c r="X16" i="5"/>
  <c r="P16" i="5"/>
  <c r="D16" i="5"/>
  <c r="O16" i="5"/>
  <c r="G16" i="5"/>
  <c r="C16" i="5"/>
  <c r="H16" i="5"/>
  <c r="Q16" i="5"/>
  <c r="M16" i="5"/>
  <c r="E16" i="5"/>
  <c r="S15" i="5"/>
  <c r="S16" i="5" l="1"/>
  <c r="Q17" i="5"/>
  <c r="M17" i="5"/>
  <c r="E17" i="5"/>
  <c r="D17" i="5"/>
  <c r="R17" i="5"/>
  <c r="N17" i="5"/>
  <c r="F17" i="5"/>
  <c r="O17" i="5"/>
  <c r="G17" i="5"/>
  <c r="C17" i="5"/>
  <c r="X17" i="5"/>
  <c r="P17" i="5"/>
  <c r="H17" i="5"/>
  <c r="A19" i="5"/>
  <c r="B18" i="5"/>
  <c r="T16" i="5"/>
  <c r="A20" i="5" l="1"/>
  <c r="B19" i="5"/>
  <c r="X18" i="5"/>
  <c r="P18" i="5"/>
  <c r="H18" i="5"/>
  <c r="D18" i="5"/>
  <c r="R18" i="5"/>
  <c r="N18" i="5"/>
  <c r="F18" i="5"/>
  <c r="O18" i="5"/>
  <c r="G18" i="5"/>
  <c r="C18" i="5"/>
  <c r="Q18" i="5"/>
  <c r="M18" i="5"/>
  <c r="E18" i="5"/>
  <c r="S17" i="5"/>
  <c r="T17" i="5"/>
  <c r="T18" i="5" l="1"/>
  <c r="A21" i="5"/>
  <c r="B20" i="5"/>
  <c r="O19" i="5"/>
  <c r="G19" i="5"/>
  <c r="C19" i="5"/>
  <c r="Q19" i="5"/>
  <c r="R19" i="5"/>
  <c r="X19" i="5"/>
  <c r="P19" i="5"/>
  <c r="H19" i="5"/>
  <c r="D19" i="5"/>
  <c r="M19" i="5"/>
  <c r="E19" i="5"/>
  <c r="N19" i="5"/>
  <c r="F19" i="5"/>
  <c r="S18" i="5"/>
  <c r="S19" i="5" l="1"/>
  <c r="T19" i="5"/>
  <c r="A22" i="5"/>
  <c r="B21" i="5"/>
  <c r="R20" i="5"/>
  <c r="N20" i="5"/>
  <c r="F20" i="5"/>
  <c r="X20" i="5"/>
  <c r="P20" i="5"/>
  <c r="H20" i="5"/>
  <c r="Q20" i="5"/>
  <c r="O20" i="5"/>
  <c r="G20" i="5"/>
  <c r="C20" i="5"/>
  <c r="D20" i="5"/>
  <c r="M20" i="5"/>
  <c r="E20" i="5"/>
  <c r="S20" i="5" l="1"/>
  <c r="A23" i="5"/>
  <c r="B22" i="5"/>
  <c r="Q21" i="5"/>
  <c r="M21" i="5"/>
  <c r="E21" i="5"/>
  <c r="O21" i="5"/>
  <c r="G21" i="5"/>
  <c r="C21" i="5"/>
  <c r="D21" i="5"/>
  <c r="R21" i="5"/>
  <c r="N21" i="5"/>
  <c r="F21" i="5"/>
  <c r="X21" i="5"/>
  <c r="P21" i="5"/>
  <c r="H21" i="5"/>
  <c r="T20" i="5"/>
  <c r="S21" i="5" l="1"/>
  <c r="A24" i="5"/>
  <c r="B23" i="5"/>
  <c r="X22" i="5"/>
  <c r="P22" i="5"/>
  <c r="H22" i="5"/>
  <c r="D22" i="5"/>
  <c r="N22" i="5"/>
  <c r="Q22" i="5"/>
  <c r="M22" i="5"/>
  <c r="E22" i="5"/>
  <c r="R22" i="5"/>
  <c r="F22" i="5"/>
  <c r="O22" i="5"/>
  <c r="G22" i="5"/>
  <c r="C22" i="5"/>
  <c r="T21" i="5"/>
  <c r="B24" i="5" l="1"/>
  <c r="A25" i="5"/>
  <c r="X23" i="5"/>
  <c r="P23" i="5"/>
  <c r="Q23" i="5"/>
  <c r="G23" i="5"/>
  <c r="C23" i="5"/>
  <c r="N23" i="5"/>
  <c r="E23" i="5"/>
  <c r="O23" i="5"/>
  <c r="F23" i="5"/>
  <c r="R23" i="5"/>
  <c r="M23" i="5"/>
  <c r="H23" i="5"/>
  <c r="D23" i="5"/>
  <c r="S22" i="5"/>
  <c r="T22" i="5"/>
  <c r="T23" i="5" l="1"/>
  <c r="S23" i="5"/>
  <c r="A26" i="5"/>
  <c r="B25" i="5"/>
  <c r="O24" i="5"/>
  <c r="G24" i="5"/>
  <c r="C24" i="5"/>
  <c r="X24" i="5"/>
  <c r="R24" i="5"/>
  <c r="M24" i="5"/>
  <c r="H24" i="5"/>
  <c r="P24" i="5"/>
  <c r="Q24" i="5"/>
  <c r="F24" i="5"/>
  <c r="N24" i="5"/>
  <c r="D24" i="5"/>
  <c r="E24" i="5"/>
  <c r="R25" i="5" l="1"/>
  <c r="N25" i="5"/>
  <c r="F25" i="5"/>
  <c r="O25" i="5"/>
  <c r="D25" i="5"/>
  <c r="G25" i="5"/>
  <c r="X25" i="5"/>
  <c r="M25" i="5"/>
  <c r="H25" i="5"/>
  <c r="C25" i="5"/>
  <c r="P25" i="5"/>
  <c r="E25" i="5"/>
  <c r="Q25" i="5"/>
  <c r="A27" i="5"/>
  <c r="B26" i="5"/>
  <c r="T24" i="5"/>
  <c r="S24" i="5"/>
  <c r="S25" i="5" l="1"/>
  <c r="T25" i="5"/>
  <c r="Q26" i="5"/>
  <c r="M26" i="5"/>
  <c r="E26" i="5"/>
  <c r="P26" i="5"/>
  <c r="F26" i="5"/>
  <c r="O26" i="5"/>
  <c r="D26" i="5"/>
  <c r="R26" i="5"/>
  <c r="G26" i="5"/>
  <c r="X26" i="5"/>
  <c r="N26" i="5"/>
  <c r="H26" i="5"/>
  <c r="C26" i="5"/>
  <c r="B27" i="5"/>
  <c r="A28" i="5"/>
  <c r="S26" i="5" l="1"/>
  <c r="X27" i="5"/>
  <c r="P27" i="5"/>
  <c r="H27" i="5"/>
  <c r="D27" i="5"/>
  <c r="R27" i="5"/>
  <c r="M27" i="5"/>
  <c r="G27" i="5"/>
  <c r="E27" i="5"/>
  <c r="Q27" i="5"/>
  <c r="F27" i="5"/>
  <c r="N27" i="5"/>
  <c r="C27" i="5"/>
  <c r="O27" i="5"/>
  <c r="T26" i="5"/>
  <c r="A29" i="5"/>
  <c r="B28" i="5"/>
  <c r="S27" i="5" l="1"/>
  <c r="A30" i="5"/>
  <c r="B29" i="5"/>
  <c r="T27" i="5"/>
  <c r="R28" i="5"/>
  <c r="N28" i="5"/>
  <c r="F28" i="5"/>
  <c r="O28" i="5"/>
  <c r="G28" i="5"/>
  <c r="C28" i="5"/>
  <c r="X28" i="5"/>
  <c r="P28" i="5"/>
  <c r="H28" i="5"/>
  <c r="D28" i="5"/>
  <c r="E28" i="5"/>
  <c r="Q28" i="5"/>
  <c r="M28" i="5"/>
  <c r="S28" i="5" l="1"/>
  <c r="B30" i="5"/>
  <c r="A31" i="5"/>
  <c r="Q29" i="5"/>
  <c r="M29" i="5"/>
  <c r="E29" i="5"/>
  <c r="R29" i="5"/>
  <c r="N29" i="5"/>
  <c r="F29" i="5"/>
  <c r="O29" i="5"/>
  <c r="G29" i="5"/>
  <c r="C29" i="5"/>
  <c r="X29" i="5"/>
  <c r="P29" i="5"/>
  <c r="H29" i="5"/>
  <c r="D29" i="5"/>
  <c r="T28" i="5"/>
  <c r="A32" i="5" l="1"/>
  <c r="B31" i="5"/>
  <c r="T29" i="5"/>
  <c r="S29" i="5"/>
  <c r="X30" i="5"/>
  <c r="P30" i="5"/>
  <c r="H30" i="5"/>
  <c r="D30" i="5"/>
  <c r="Q30" i="5"/>
  <c r="M30" i="5"/>
  <c r="E30" i="5"/>
  <c r="N30" i="5"/>
  <c r="F30" i="5"/>
  <c r="R30" i="5"/>
  <c r="O30" i="5"/>
  <c r="G30" i="5"/>
  <c r="C30" i="5"/>
  <c r="A33" i="5" l="1"/>
  <c r="B32" i="5"/>
  <c r="O31" i="5"/>
  <c r="G31" i="5"/>
  <c r="C31" i="5"/>
  <c r="X31" i="5"/>
  <c r="P31" i="5"/>
  <c r="H31" i="5"/>
  <c r="D31" i="5"/>
  <c r="M31" i="5"/>
  <c r="E31" i="5"/>
  <c r="N31" i="5"/>
  <c r="F31" i="5"/>
  <c r="Q31" i="5"/>
  <c r="R31" i="5"/>
  <c r="T30" i="5"/>
  <c r="S30" i="5"/>
  <c r="S31" i="5" l="1"/>
  <c r="A34" i="5"/>
  <c r="B33" i="5"/>
  <c r="R32" i="5"/>
  <c r="N32" i="5"/>
  <c r="F32" i="5"/>
  <c r="O32" i="5"/>
  <c r="G32" i="5"/>
  <c r="C32" i="5"/>
  <c r="D32" i="5"/>
  <c r="P32" i="5"/>
  <c r="Q32" i="5"/>
  <c r="M32" i="5"/>
  <c r="E32" i="5"/>
  <c r="X32" i="5"/>
  <c r="H32" i="5"/>
  <c r="T31" i="5"/>
  <c r="T32" i="5" l="1"/>
  <c r="S32" i="5"/>
  <c r="A35" i="5"/>
  <c r="B34" i="5"/>
  <c r="Q33" i="5"/>
  <c r="M33" i="5"/>
  <c r="E33" i="5"/>
  <c r="R33" i="5"/>
  <c r="N33" i="5"/>
  <c r="F33" i="5"/>
  <c r="C33" i="5"/>
  <c r="O33" i="5"/>
  <c r="X33" i="5"/>
  <c r="H33" i="5"/>
  <c r="D33" i="5"/>
  <c r="G33" i="5"/>
  <c r="P33" i="5"/>
  <c r="X34" i="5" l="1"/>
  <c r="P34" i="5"/>
  <c r="H34" i="5"/>
  <c r="D34" i="5"/>
  <c r="Q34" i="5"/>
  <c r="M34" i="5"/>
  <c r="E34" i="5"/>
  <c r="R34" i="5"/>
  <c r="F34" i="5"/>
  <c r="O34" i="5"/>
  <c r="C34" i="5"/>
  <c r="N34" i="5"/>
  <c r="G34" i="5"/>
  <c r="A36" i="5"/>
  <c r="B35" i="5"/>
  <c r="T33" i="5"/>
  <c r="S33" i="5"/>
  <c r="O35" i="5" l="1"/>
  <c r="G35" i="5"/>
  <c r="C35" i="5"/>
  <c r="X35" i="5"/>
  <c r="P35" i="5"/>
  <c r="H35" i="5"/>
  <c r="D35" i="5"/>
  <c r="Q35" i="5"/>
  <c r="M35" i="5"/>
  <c r="F35" i="5"/>
  <c r="R35" i="5"/>
  <c r="E35" i="5"/>
  <c r="N35" i="5"/>
  <c r="T34" i="5"/>
  <c r="A37" i="5"/>
  <c r="B36" i="5"/>
  <c r="S34" i="5"/>
  <c r="R36" i="5" l="1"/>
  <c r="N36" i="5"/>
  <c r="F36" i="5"/>
  <c r="O36" i="5"/>
  <c r="G36" i="5"/>
  <c r="C36" i="5"/>
  <c r="X36" i="5"/>
  <c r="P36" i="5"/>
  <c r="H36" i="5"/>
  <c r="D36" i="5"/>
  <c r="M36" i="5"/>
  <c r="Q36" i="5"/>
  <c r="E36" i="5"/>
  <c r="S35" i="5"/>
  <c r="T35" i="5"/>
  <c r="A38" i="5"/>
  <c r="B37" i="5"/>
  <c r="Q37" i="5" l="1"/>
  <c r="M37" i="5"/>
  <c r="E37" i="5"/>
  <c r="R37" i="5"/>
  <c r="N37" i="5"/>
  <c r="F37" i="5"/>
  <c r="O37" i="5"/>
  <c r="G37" i="5"/>
  <c r="X37" i="5"/>
  <c r="P37" i="5"/>
  <c r="H37" i="5"/>
  <c r="C37" i="5"/>
  <c r="D37" i="5"/>
  <c r="T36" i="5"/>
  <c r="A39" i="5"/>
  <c r="B38" i="5"/>
  <c r="S36" i="5"/>
  <c r="S37" i="5" l="1"/>
  <c r="X38" i="5"/>
  <c r="P38" i="5"/>
  <c r="H38" i="5"/>
  <c r="D38" i="5"/>
  <c r="Q38" i="5"/>
  <c r="M38" i="5"/>
  <c r="E38" i="5"/>
  <c r="N38" i="5"/>
  <c r="F38" i="5"/>
  <c r="C38" i="5"/>
  <c r="O38" i="5"/>
  <c r="G38" i="5"/>
  <c r="R38" i="5"/>
  <c r="B39" i="5"/>
  <c r="A40" i="5"/>
  <c r="T37" i="5"/>
  <c r="S38" i="5" l="1"/>
  <c r="O39" i="5"/>
  <c r="G39" i="5"/>
  <c r="C39" i="5"/>
  <c r="X39" i="5"/>
  <c r="P39" i="5"/>
  <c r="H39" i="5"/>
  <c r="D39" i="5"/>
  <c r="M39" i="5"/>
  <c r="E39" i="5"/>
  <c r="R39" i="5"/>
  <c r="N39" i="5"/>
  <c r="F39" i="5"/>
  <c r="Q39" i="5"/>
  <c r="A41" i="5"/>
  <c r="B40" i="5"/>
  <c r="T38" i="5"/>
  <c r="A42" i="5" l="1"/>
  <c r="B41" i="5"/>
  <c r="T39" i="5"/>
  <c r="R40" i="5"/>
  <c r="N40" i="5"/>
  <c r="F40" i="5"/>
  <c r="O40" i="5"/>
  <c r="G40" i="5"/>
  <c r="C40" i="5"/>
  <c r="D40" i="5"/>
  <c r="P40" i="5"/>
  <c r="M40" i="5"/>
  <c r="E40" i="5"/>
  <c r="X40" i="5"/>
  <c r="H40" i="5"/>
  <c r="Q40" i="5"/>
  <c r="S39" i="5"/>
  <c r="T40" i="5" l="1"/>
  <c r="A43" i="5"/>
  <c r="B42" i="5"/>
  <c r="Q41" i="5"/>
  <c r="M41" i="5"/>
  <c r="E41" i="5"/>
  <c r="R41" i="5"/>
  <c r="N41" i="5"/>
  <c r="F41" i="5"/>
  <c r="C41" i="5"/>
  <c r="G41" i="5"/>
  <c r="P41" i="5"/>
  <c r="D41" i="5"/>
  <c r="O41" i="5"/>
  <c r="X41" i="5"/>
  <c r="H41" i="5"/>
  <c r="S40" i="5"/>
  <c r="S41" i="5" l="1"/>
  <c r="A44" i="5"/>
  <c r="B43" i="5"/>
  <c r="X42" i="5"/>
  <c r="P42" i="5"/>
  <c r="H42" i="5"/>
  <c r="D42" i="5"/>
  <c r="Q42" i="5"/>
  <c r="M42" i="5"/>
  <c r="E42" i="5"/>
  <c r="R42" i="5"/>
  <c r="N42" i="5"/>
  <c r="G42" i="5"/>
  <c r="C42" i="5"/>
  <c r="F42" i="5"/>
  <c r="O42" i="5"/>
  <c r="T41" i="5"/>
  <c r="T42" i="5" l="1"/>
  <c r="A45" i="5"/>
  <c r="B44" i="5"/>
  <c r="O43" i="5"/>
  <c r="G43" i="5"/>
  <c r="C43" i="5"/>
  <c r="X43" i="5"/>
  <c r="P43" i="5"/>
  <c r="H43" i="5"/>
  <c r="D43" i="5"/>
  <c r="Q43" i="5"/>
  <c r="E43" i="5"/>
  <c r="N43" i="5"/>
  <c r="R43" i="5"/>
  <c r="M43" i="5"/>
  <c r="F43" i="5"/>
  <c r="S42" i="5"/>
  <c r="T43" i="5" l="1"/>
  <c r="S43" i="5"/>
  <c r="A46" i="5"/>
  <c r="B45" i="5"/>
  <c r="R44" i="5"/>
  <c r="N44" i="5"/>
  <c r="F44" i="5"/>
  <c r="O44" i="5"/>
  <c r="G44" i="5"/>
  <c r="C44" i="5"/>
  <c r="X44" i="5"/>
  <c r="P44" i="5"/>
  <c r="H44" i="5"/>
  <c r="D44" i="5"/>
  <c r="E44" i="5"/>
  <c r="Q44" i="5"/>
  <c r="M44" i="5"/>
  <c r="Q45" i="5" l="1"/>
  <c r="M45" i="5"/>
  <c r="E45" i="5"/>
  <c r="R45" i="5"/>
  <c r="N45" i="5"/>
  <c r="F45" i="5"/>
  <c r="O45" i="5"/>
  <c r="G45" i="5"/>
  <c r="X45" i="5"/>
  <c r="P45" i="5"/>
  <c r="H45" i="5"/>
  <c r="C45" i="5"/>
  <c r="D45" i="5"/>
  <c r="B46" i="5"/>
  <c r="A47" i="5"/>
  <c r="S44" i="5"/>
  <c r="T44" i="5"/>
  <c r="B47" i="5" l="1"/>
  <c r="A48" i="5"/>
  <c r="T45" i="5"/>
  <c r="S45" i="5"/>
  <c r="X46" i="5"/>
  <c r="P46" i="5"/>
  <c r="Q46" i="5"/>
  <c r="H46" i="5"/>
  <c r="D46" i="5"/>
  <c r="R46" i="5"/>
  <c r="M46" i="5"/>
  <c r="E46" i="5"/>
  <c r="N46" i="5"/>
  <c r="F46" i="5"/>
  <c r="C46" i="5"/>
  <c r="O46" i="5"/>
  <c r="G46" i="5"/>
  <c r="T46" i="5" l="1"/>
  <c r="S46" i="5"/>
  <c r="A49" i="5"/>
  <c r="B48" i="5"/>
  <c r="O47" i="5"/>
  <c r="G47" i="5"/>
  <c r="C47" i="5"/>
  <c r="X47" i="5"/>
  <c r="R47" i="5"/>
  <c r="M47" i="5"/>
  <c r="H47" i="5"/>
  <c r="N47" i="5"/>
  <c r="D47" i="5"/>
  <c r="E47" i="5"/>
  <c r="Q47" i="5"/>
  <c r="P47" i="5"/>
  <c r="F47" i="5"/>
  <c r="S47" i="5" l="1"/>
  <c r="R48" i="5"/>
  <c r="N48" i="5"/>
  <c r="F48" i="5"/>
  <c r="O48" i="5"/>
  <c r="D48" i="5"/>
  <c r="P48" i="5"/>
  <c r="E48" i="5"/>
  <c r="Q48" i="5"/>
  <c r="G48" i="5"/>
  <c r="X48" i="5"/>
  <c r="C48" i="5"/>
  <c r="H48" i="5"/>
  <c r="M48" i="5"/>
  <c r="B49" i="5"/>
  <c r="A50" i="5"/>
  <c r="T47" i="5"/>
  <c r="B50" i="5" l="1"/>
  <c r="A51" i="5"/>
  <c r="S48" i="5"/>
  <c r="Q49" i="5"/>
  <c r="M49" i="5"/>
  <c r="E49" i="5"/>
  <c r="P49" i="5"/>
  <c r="F49" i="5"/>
  <c r="R49" i="5"/>
  <c r="G49" i="5"/>
  <c r="X49" i="5"/>
  <c r="N49" i="5"/>
  <c r="C49" i="5"/>
  <c r="H49" i="5"/>
  <c r="O49" i="5"/>
  <c r="D49" i="5"/>
  <c r="T48" i="5"/>
  <c r="X50" i="5" l="1"/>
  <c r="P50" i="5"/>
  <c r="H50" i="5"/>
  <c r="D50" i="5"/>
  <c r="R50" i="5"/>
  <c r="M50" i="5"/>
  <c r="G50" i="5"/>
  <c r="N50" i="5"/>
  <c r="C50" i="5"/>
  <c r="E50" i="5"/>
  <c r="O50" i="5"/>
  <c r="Q50" i="5"/>
  <c r="F50" i="5"/>
  <c r="A52" i="5"/>
  <c r="B51" i="5"/>
  <c r="T49" i="5"/>
  <c r="S49" i="5"/>
  <c r="T50" i="5" l="1"/>
  <c r="A53" i="5"/>
  <c r="B52" i="5"/>
  <c r="O51" i="5"/>
  <c r="G51" i="5"/>
  <c r="C51" i="5"/>
  <c r="N51" i="5"/>
  <c r="D51" i="5"/>
  <c r="P51" i="5"/>
  <c r="E51" i="5"/>
  <c r="Q51" i="5"/>
  <c r="F51" i="5"/>
  <c r="R51" i="5"/>
  <c r="H51" i="5"/>
  <c r="X51" i="5"/>
  <c r="M51" i="5"/>
  <c r="S50" i="5"/>
  <c r="A54" i="5" l="1"/>
  <c r="B53" i="5"/>
  <c r="R52" i="5"/>
  <c r="N52" i="5"/>
  <c r="F52" i="5"/>
  <c r="P52" i="5"/>
  <c r="E52" i="5"/>
  <c r="Q52" i="5"/>
  <c r="G52" i="5"/>
  <c r="X52" i="5"/>
  <c r="M52" i="5"/>
  <c r="C52" i="5"/>
  <c r="O52" i="5"/>
  <c r="D52" i="5"/>
  <c r="H52" i="5"/>
  <c r="S51" i="5"/>
  <c r="T51" i="5"/>
  <c r="S52" i="5" l="1"/>
  <c r="T52" i="5"/>
  <c r="A55" i="5"/>
  <c r="B54" i="5"/>
  <c r="X53" i="5"/>
  <c r="Q53" i="5"/>
  <c r="M53" i="5"/>
  <c r="E53" i="5"/>
  <c r="R53" i="5"/>
  <c r="G53" i="5"/>
  <c r="N53" i="5"/>
  <c r="H53" i="5"/>
  <c r="C53" i="5"/>
  <c r="O53" i="5"/>
  <c r="P53" i="5"/>
  <c r="D53" i="5"/>
  <c r="F53" i="5"/>
  <c r="A56" i="5" l="1"/>
  <c r="B55" i="5"/>
  <c r="O54" i="5"/>
  <c r="G54" i="5"/>
  <c r="C54" i="5"/>
  <c r="X54" i="5"/>
  <c r="P54" i="5"/>
  <c r="H54" i="5"/>
  <c r="D54" i="5"/>
  <c r="Q54" i="5"/>
  <c r="R54" i="5"/>
  <c r="M54" i="5"/>
  <c r="E54" i="5"/>
  <c r="N54" i="5"/>
  <c r="F54" i="5"/>
  <c r="S53" i="5"/>
  <c r="T53" i="5"/>
  <c r="T54" i="5" l="1"/>
  <c r="S54" i="5"/>
  <c r="A57" i="5"/>
  <c r="B56" i="5"/>
  <c r="R55" i="5"/>
  <c r="N55" i="5"/>
  <c r="F55" i="5"/>
  <c r="O55" i="5"/>
  <c r="G55" i="5"/>
  <c r="C55" i="5"/>
  <c r="X55" i="5"/>
  <c r="P55" i="5"/>
  <c r="H55" i="5"/>
  <c r="Q55" i="5"/>
  <c r="D55" i="5"/>
  <c r="M55" i="5"/>
  <c r="E55" i="5"/>
  <c r="T55" i="5" l="1"/>
  <c r="S55" i="5"/>
  <c r="B57" i="5"/>
  <c r="A58" i="5"/>
  <c r="Q56" i="5"/>
  <c r="M56" i="5"/>
  <c r="E56" i="5"/>
  <c r="R56" i="5"/>
  <c r="N56" i="5"/>
  <c r="F56" i="5"/>
  <c r="O56" i="5"/>
  <c r="G56" i="5"/>
  <c r="X56" i="5"/>
  <c r="P56" i="5"/>
  <c r="H56" i="5"/>
  <c r="C56" i="5"/>
  <c r="D56" i="5"/>
  <c r="T56" i="5" l="1"/>
  <c r="S56" i="5"/>
  <c r="X57" i="5"/>
  <c r="P57" i="5"/>
  <c r="H57" i="5"/>
  <c r="D57" i="5"/>
  <c r="Q57" i="5"/>
  <c r="M57" i="5"/>
  <c r="E57" i="5"/>
  <c r="N57" i="5"/>
  <c r="F57" i="5"/>
  <c r="O57" i="5"/>
  <c r="G57" i="5"/>
  <c r="R57" i="5"/>
  <c r="C57" i="5"/>
  <c r="A59" i="5"/>
  <c r="B58" i="5"/>
  <c r="A60" i="5" l="1"/>
  <c r="B59" i="5"/>
  <c r="O58" i="5"/>
  <c r="G58" i="5"/>
  <c r="C58" i="5"/>
  <c r="X58" i="5"/>
  <c r="P58" i="5"/>
  <c r="H58" i="5"/>
  <c r="D58" i="5"/>
  <c r="M58" i="5"/>
  <c r="E58" i="5"/>
  <c r="N58" i="5"/>
  <c r="F58" i="5"/>
  <c r="Q58" i="5"/>
  <c r="R58" i="5"/>
  <c r="T57" i="5"/>
  <c r="S57" i="5"/>
  <c r="S58" i="5" l="1"/>
  <c r="A61" i="5"/>
  <c r="B60" i="5"/>
  <c r="R59" i="5"/>
  <c r="N59" i="5"/>
  <c r="F59" i="5"/>
  <c r="O59" i="5"/>
  <c r="G59" i="5"/>
  <c r="C59" i="5"/>
  <c r="D59" i="5"/>
  <c r="M59" i="5"/>
  <c r="E59" i="5"/>
  <c r="P59" i="5"/>
  <c r="X59" i="5"/>
  <c r="Q59" i="5"/>
  <c r="H59" i="5"/>
  <c r="T58" i="5"/>
  <c r="T59" i="5" l="1"/>
  <c r="A62" i="5"/>
  <c r="B61" i="5"/>
  <c r="Q60" i="5"/>
  <c r="M60" i="5"/>
  <c r="E60" i="5"/>
  <c r="R60" i="5"/>
  <c r="N60" i="5"/>
  <c r="F60" i="5"/>
  <c r="C60" i="5"/>
  <c r="D60" i="5"/>
  <c r="G60" i="5"/>
  <c r="X60" i="5"/>
  <c r="H60" i="5"/>
  <c r="O60" i="5"/>
  <c r="P60" i="5"/>
  <c r="S59" i="5"/>
  <c r="T60" i="5" l="1"/>
  <c r="A63" i="5"/>
  <c r="B62" i="5"/>
  <c r="X61" i="5"/>
  <c r="P61" i="5"/>
  <c r="H61" i="5"/>
  <c r="D61" i="5"/>
  <c r="Q61" i="5"/>
  <c r="M61" i="5"/>
  <c r="E61" i="5"/>
  <c r="R61" i="5"/>
  <c r="C61" i="5"/>
  <c r="N61" i="5"/>
  <c r="F61" i="5"/>
  <c r="G61" i="5"/>
  <c r="O61" i="5"/>
  <c r="S60" i="5"/>
  <c r="S61" i="5" l="1"/>
  <c r="A64" i="5"/>
  <c r="B63" i="5"/>
  <c r="O62" i="5"/>
  <c r="G62" i="5"/>
  <c r="C62" i="5"/>
  <c r="X62" i="5"/>
  <c r="P62" i="5"/>
  <c r="H62" i="5"/>
  <c r="D62" i="5"/>
  <c r="Q62" i="5"/>
  <c r="R62" i="5"/>
  <c r="E62" i="5"/>
  <c r="M62" i="5"/>
  <c r="N62" i="5"/>
  <c r="F62" i="5"/>
  <c r="T61" i="5"/>
  <c r="T62" i="5" l="1"/>
  <c r="A65" i="5"/>
  <c r="B64" i="5"/>
  <c r="R63" i="5"/>
  <c r="N63" i="5"/>
  <c r="F63" i="5"/>
  <c r="O63" i="5"/>
  <c r="G63" i="5"/>
  <c r="C63" i="5"/>
  <c r="X63" i="5"/>
  <c r="P63" i="5"/>
  <c r="H63" i="5"/>
  <c r="Q63" i="5"/>
  <c r="D63" i="5"/>
  <c r="E63" i="5"/>
  <c r="M63" i="5"/>
  <c r="S62" i="5"/>
  <c r="S63" i="5" l="1"/>
  <c r="T63" i="5"/>
  <c r="A66" i="5"/>
  <c r="B65" i="5"/>
  <c r="Q64" i="5"/>
  <c r="M64" i="5"/>
  <c r="E64" i="5"/>
  <c r="R64" i="5"/>
  <c r="N64" i="5"/>
  <c r="F64" i="5"/>
  <c r="O64" i="5"/>
  <c r="G64" i="5"/>
  <c r="X64" i="5"/>
  <c r="P64" i="5"/>
  <c r="H64" i="5"/>
  <c r="C64" i="5"/>
  <c r="D64" i="5"/>
  <c r="T64" i="5" l="1"/>
  <c r="S64" i="5"/>
  <c r="A67" i="5"/>
  <c r="B66" i="5"/>
  <c r="X65" i="5"/>
  <c r="P65" i="5"/>
  <c r="H65" i="5"/>
  <c r="D65" i="5"/>
  <c r="Q65" i="5"/>
  <c r="M65" i="5"/>
  <c r="E65" i="5"/>
  <c r="N65" i="5"/>
  <c r="F65" i="5"/>
  <c r="O65" i="5"/>
  <c r="G65" i="5"/>
  <c r="C65" i="5"/>
  <c r="R65" i="5"/>
  <c r="S65" i="5" l="1"/>
  <c r="A68" i="5"/>
  <c r="B67" i="5"/>
  <c r="O66" i="5"/>
  <c r="G66" i="5"/>
  <c r="C66" i="5"/>
  <c r="X66" i="5"/>
  <c r="P66" i="5"/>
  <c r="H66" i="5"/>
  <c r="D66" i="5"/>
  <c r="M66" i="5"/>
  <c r="E66" i="5"/>
  <c r="N66" i="5"/>
  <c r="F66" i="5"/>
  <c r="Q66" i="5"/>
  <c r="R66" i="5"/>
  <c r="T65" i="5"/>
  <c r="T66" i="5" l="1"/>
  <c r="A69" i="5"/>
  <c r="B68" i="5"/>
  <c r="X67" i="5"/>
  <c r="P67" i="5"/>
  <c r="H67" i="5"/>
  <c r="D67" i="5"/>
  <c r="Q67" i="5"/>
  <c r="M67" i="5"/>
  <c r="E67" i="5"/>
  <c r="R67" i="5"/>
  <c r="C67" i="5"/>
  <c r="F67" i="5"/>
  <c r="G67" i="5"/>
  <c r="N67" i="5"/>
  <c r="O67" i="5"/>
  <c r="S66" i="5"/>
  <c r="T67" i="5" l="1"/>
  <c r="S67" i="5"/>
  <c r="A70" i="5"/>
  <c r="B69" i="5"/>
  <c r="O68" i="5"/>
  <c r="G68" i="5"/>
  <c r="C68" i="5"/>
  <c r="X68" i="5"/>
  <c r="P68" i="5"/>
  <c r="H68" i="5"/>
  <c r="D68" i="5"/>
  <c r="Q68" i="5"/>
  <c r="R68" i="5"/>
  <c r="M68" i="5"/>
  <c r="N68" i="5"/>
  <c r="E68" i="5"/>
  <c r="F68" i="5"/>
  <c r="S68" i="5" l="1"/>
  <c r="A71" i="5"/>
  <c r="B70" i="5"/>
  <c r="R69" i="5"/>
  <c r="N69" i="5"/>
  <c r="F69" i="5"/>
  <c r="O69" i="5"/>
  <c r="G69" i="5"/>
  <c r="C69" i="5"/>
  <c r="X69" i="5"/>
  <c r="P69" i="5"/>
  <c r="H69" i="5"/>
  <c r="Q69" i="5"/>
  <c r="D69" i="5"/>
  <c r="E69" i="5"/>
  <c r="M69" i="5"/>
  <c r="T68" i="5"/>
  <c r="S69" i="5" l="1"/>
  <c r="T69" i="5"/>
  <c r="B71" i="5"/>
  <c r="A72" i="5"/>
  <c r="Q70" i="5"/>
  <c r="M70" i="5"/>
  <c r="E70" i="5"/>
  <c r="R70" i="5"/>
  <c r="N70" i="5"/>
  <c r="F70" i="5"/>
  <c r="O70" i="5"/>
  <c r="G70" i="5"/>
  <c r="X70" i="5"/>
  <c r="P70" i="5"/>
  <c r="H70" i="5"/>
  <c r="C70" i="5"/>
  <c r="D70" i="5"/>
  <c r="S70" i="5" l="1"/>
  <c r="T70" i="5"/>
  <c r="X71" i="5"/>
  <c r="P71" i="5"/>
  <c r="H71" i="5"/>
  <c r="D71" i="5"/>
  <c r="Q71" i="5"/>
  <c r="M71" i="5"/>
  <c r="E71" i="5"/>
  <c r="N71" i="5"/>
  <c r="F71" i="5"/>
  <c r="O71" i="5"/>
  <c r="G71" i="5"/>
  <c r="R71" i="5"/>
  <c r="C71" i="5"/>
  <c r="A73" i="5"/>
  <c r="B72" i="5"/>
  <c r="A74" i="5" l="1"/>
  <c r="B73" i="5"/>
  <c r="O72" i="5"/>
  <c r="G72" i="5"/>
  <c r="C72" i="5"/>
  <c r="X72" i="5"/>
  <c r="P72" i="5"/>
  <c r="H72" i="5"/>
  <c r="D72" i="5"/>
  <c r="M72" i="5"/>
  <c r="E72" i="5"/>
  <c r="N72" i="5"/>
  <c r="F72" i="5"/>
  <c r="Q72" i="5"/>
  <c r="R72" i="5"/>
  <c r="T71" i="5"/>
  <c r="S71" i="5"/>
  <c r="T72" i="5" l="1"/>
  <c r="A75" i="5"/>
  <c r="B74" i="5"/>
  <c r="R73" i="5"/>
  <c r="N73" i="5"/>
  <c r="F73" i="5"/>
  <c r="O73" i="5"/>
  <c r="G73" i="5"/>
  <c r="C73" i="5"/>
  <c r="D73" i="5"/>
  <c r="M73" i="5"/>
  <c r="E73" i="5"/>
  <c r="P73" i="5"/>
  <c r="Q73" i="5"/>
  <c r="X73" i="5"/>
  <c r="H73" i="5"/>
  <c r="S72" i="5"/>
  <c r="T73" i="5" l="1"/>
  <c r="A76" i="5"/>
  <c r="B75" i="5"/>
  <c r="Q74" i="5"/>
  <c r="M74" i="5"/>
  <c r="E74" i="5"/>
  <c r="R74" i="5"/>
  <c r="N74" i="5"/>
  <c r="F74" i="5"/>
  <c r="C74" i="5"/>
  <c r="D74" i="5"/>
  <c r="G74" i="5"/>
  <c r="X74" i="5"/>
  <c r="H74" i="5"/>
  <c r="O74" i="5"/>
  <c r="P74" i="5"/>
  <c r="S73" i="5"/>
  <c r="T74" i="5" l="1"/>
  <c r="A77" i="5"/>
  <c r="B76" i="5"/>
  <c r="X75" i="5"/>
  <c r="P75" i="5"/>
  <c r="H75" i="5"/>
  <c r="D75" i="5"/>
  <c r="Q75" i="5"/>
  <c r="M75" i="5"/>
  <c r="E75" i="5"/>
  <c r="R75" i="5"/>
  <c r="C75" i="5"/>
  <c r="N75" i="5"/>
  <c r="O75" i="5"/>
  <c r="F75" i="5"/>
  <c r="G75" i="5"/>
  <c r="S74" i="5"/>
  <c r="S75" i="5" l="1"/>
  <c r="A78" i="5"/>
  <c r="B77" i="5"/>
  <c r="O76" i="5"/>
  <c r="G76" i="5"/>
  <c r="C76" i="5"/>
  <c r="X76" i="5"/>
  <c r="P76" i="5"/>
  <c r="H76" i="5"/>
  <c r="D76" i="5"/>
  <c r="Q76" i="5"/>
  <c r="R76" i="5"/>
  <c r="E76" i="5"/>
  <c r="F76" i="5"/>
  <c r="M76" i="5"/>
  <c r="N76" i="5"/>
  <c r="T75" i="5"/>
  <c r="S76" i="5" l="1"/>
  <c r="A79" i="5"/>
  <c r="B78" i="5"/>
  <c r="R77" i="5"/>
  <c r="N77" i="5"/>
  <c r="F77" i="5"/>
  <c r="O77" i="5"/>
  <c r="G77" i="5"/>
  <c r="C77" i="5"/>
  <c r="X77" i="5"/>
  <c r="P77" i="5"/>
  <c r="H77" i="5"/>
  <c r="Q77" i="5"/>
  <c r="M77" i="5"/>
  <c r="D77" i="5"/>
  <c r="E77" i="5"/>
  <c r="T76" i="5"/>
  <c r="T77" i="5" l="1"/>
  <c r="A80" i="5"/>
  <c r="B79" i="5"/>
  <c r="Q78" i="5"/>
  <c r="M78" i="5"/>
  <c r="E78" i="5"/>
  <c r="R78" i="5"/>
  <c r="N78" i="5"/>
  <c r="F78" i="5"/>
  <c r="O78" i="5"/>
  <c r="G78" i="5"/>
  <c r="X78" i="5"/>
  <c r="P78" i="5"/>
  <c r="H78" i="5"/>
  <c r="C78" i="5"/>
  <c r="D78" i="5"/>
  <c r="S77" i="5"/>
  <c r="T78" i="5" l="1"/>
  <c r="S78" i="5"/>
  <c r="B80" i="5"/>
  <c r="A81" i="5"/>
  <c r="X79" i="5"/>
  <c r="P79" i="5"/>
  <c r="H79" i="5"/>
  <c r="D79" i="5"/>
  <c r="Q79" i="5"/>
  <c r="M79" i="5"/>
  <c r="E79" i="5"/>
  <c r="N79" i="5"/>
  <c r="F79" i="5"/>
  <c r="O79" i="5"/>
  <c r="G79" i="5"/>
  <c r="C79" i="5"/>
  <c r="R79" i="5"/>
  <c r="S79" i="5" l="1"/>
  <c r="O80" i="5"/>
  <c r="G80" i="5"/>
  <c r="C80" i="5"/>
  <c r="X80" i="5"/>
  <c r="P80" i="5"/>
  <c r="H80" i="5"/>
  <c r="D80" i="5"/>
  <c r="M80" i="5"/>
  <c r="E80" i="5"/>
  <c r="N80" i="5"/>
  <c r="F80" i="5"/>
  <c r="Q80" i="5"/>
  <c r="R80" i="5"/>
  <c r="A82" i="5"/>
  <c r="B81" i="5"/>
  <c r="T79" i="5"/>
  <c r="A83" i="5" l="1"/>
  <c r="B82" i="5"/>
  <c r="R81" i="5"/>
  <c r="N81" i="5"/>
  <c r="F81" i="5"/>
  <c r="O81" i="5"/>
  <c r="G81" i="5"/>
  <c r="C81" i="5"/>
  <c r="D81" i="5"/>
  <c r="M81" i="5"/>
  <c r="E81" i="5"/>
  <c r="X81" i="5"/>
  <c r="H81" i="5"/>
  <c r="P81" i="5"/>
  <c r="Q81" i="5"/>
  <c r="S80" i="5"/>
  <c r="T80" i="5"/>
  <c r="A84" i="5" l="1"/>
  <c r="B83" i="5"/>
  <c r="Q82" i="5"/>
  <c r="M82" i="5"/>
  <c r="E82" i="5"/>
  <c r="R82" i="5"/>
  <c r="N82" i="5"/>
  <c r="F82" i="5"/>
  <c r="C82" i="5"/>
  <c r="D82" i="5"/>
  <c r="O82" i="5"/>
  <c r="P82" i="5"/>
  <c r="H82" i="5"/>
  <c r="X82" i="5"/>
  <c r="G82" i="5"/>
  <c r="T81" i="5"/>
  <c r="S81" i="5"/>
  <c r="T82" i="5" l="1"/>
  <c r="S82" i="5"/>
  <c r="A85" i="5"/>
  <c r="B84" i="5"/>
  <c r="X83" i="5"/>
  <c r="P83" i="5"/>
  <c r="H83" i="5"/>
  <c r="D83" i="5"/>
  <c r="Q83" i="5"/>
  <c r="M83" i="5"/>
  <c r="E83" i="5"/>
  <c r="R83" i="5"/>
  <c r="C83" i="5"/>
  <c r="F83" i="5"/>
  <c r="G83" i="5"/>
  <c r="N83" i="5"/>
  <c r="O83" i="5"/>
  <c r="T83" i="5" l="1"/>
  <c r="S83" i="5"/>
  <c r="A86" i="5"/>
  <c r="B85" i="5"/>
  <c r="O84" i="5"/>
  <c r="G84" i="5"/>
  <c r="C84" i="5"/>
  <c r="X84" i="5"/>
  <c r="P84" i="5"/>
  <c r="H84" i="5"/>
  <c r="D84" i="5"/>
  <c r="Q84" i="5"/>
  <c r="R84" i="5"/>
  <c r="M84" i="5"/>
  <c r="N84" i="5"/>
  <c r="E84" i="5"/>
  <c r="F84" i="5"/>
  <c r="S84" i="5" l="1"/>
  <c r="A87" i="5"/>
  <c r="B86" i="5"/>
  <c r="R85" i="5"/>
  <c r="N85" i="5"/>
  <c r="F85" i="5"/>
  <c r="O85" i="5"/>
  <c r="G85" i="5"/>
  <c r="C85" i="5"/>
  <c r="X85" i="5"/>
  <c r="P85" i="5"/>
  <c r="H85" i="5"/>
  <c r="Q85" i="5"/>
  <c r="D85" i="5"/>
  <c r="E85" i="5"/>
  <c r="M85" i="5"/>
  <c r="T84" i="5"/>
  <c r="S85" i="5" l="1"/>
  <c r="T85" i="5"/>
  <c r="B87" i="5"/>
  <c r="A88" i="5"/>
  <c r="Q86" i="5"/>
  <c r="M86" i="5"/>
  <c r="E86" i="5"/>
  <c r="R86" i="5"/>
  <c r="N86" i="5"/>
  <c r="F86" i="5"/>
  <c r="O86" i="5"/>
  <c r="G86" i="5"/>
  <c r="X86" i="5"/>
  <c r="P86" i="5"/>
  <c r="H86" i="5"/>
  <c r="C86" i="5"/>
  <c r="D86" i="5"/>
  <c r="S86" i="5" l="1"/>
  <c r="T86" i="5"/>
  <c r="X87" i="5"/>
  <c r="P87" i="5"/>
  <c r="H87" i="5"/>
  <c r="D87" i="5"/>
  <c r="Q87" i="5"/>
  <c r="M87" i="5"/>
  <c r="E87" i="5"/>
  <c r="N87" i="5"/>
  <c r="F87" i="5"/>
  <c r="O87" i="5"/>
  <c r="G87" i="5"/>
  <c r="R87" i="5"/>
  <c r="C87" i="5"/>
  <c r="A89" i="5"/>
  <c r="B88" i="5"/>
  <c r="A90" i="5" l="1"/>
  <c r="B89" i="5"/>
  <c r="O88" i="5"/>
  <c r="G88" i="5"/>
  <c r="C88" i="5"/>
  <c r="X88" i="5"/>
  <c r="P88" i="5"/>
  <c r="H88" i="5"/>
  <c r="D88" i="5"/>
  <c r="M88" i="5"/>
  <c r="E88" i="5"/>
  <c r="N88" i="5"/>
  <c r="F88" i="5"/>
  <c r="Q88" i="5"/>
  <c r="R88" i="5"/>
  <c r="T87" i="5"/>
  <c r="S87" i="5"/>
  <c r="S88" i="5" l="1"/>
  <c r="R89" i="5"/>
  <c r="N89" i="5"/>
  <c r="F89" i="5"/>
  <c r="O89" i="5"/>
  <c r="G89" i="5"/>
  <c r="C89" i="5"/>
  <c r="D89" i="5"/>
  <c r="M89" i="5"/>
  <c r="E89" i="5"/>
  <c r="P89" i="5"/>
  <c r="Q89" i="5"/>
  <c r="H89" i="5"/>
  <c r="X89" i="5"/>
  <c r="A91" i="5"/>
  <c r="B90" i="5"/>
  <c r="T88" i="5"/>
  <c r="S89" i="5" l="1"/>
  <c r="Q90" i="5"/>
  <c r="M90" i="5"/>
  <c r="E90" i="5"/>
  <c r="R90" i="5"/>
  <c r="N90" i="5"/>
  <c r="F90" i="5"/>
  <c r="C90" i="5"/>
  <c r="D90" i="5"/>
  <c r="G90" i="5"/>
  <c r="X90" i="5"/>
  <c r="H90" i="5"/>
  <c r="O90" i="5"/>
  <c r="P90" i="5"/>
  <c r="T89" i="5"/>
  <c r="A92" i="5"/>
  <c r="B91" i="5"/>
  <c r="X91" i="5" l="1"/>
  <c r="P91" i="5"/>
  <c r="H91" i="5"/>
  <c r="D91" i="5"/>
  <c r="Q91" i="5"/>
  <c r="M91" i="5"/>
  <c r="E91" i="5"/>
  <c r="R91" i="5"/>
  <c r="C91" i="5"/>
  <c r="N91" i="5"/>
  <c r="O91" i="5"/>
  <c r="F91" i="5"/>
  <c r="G91" i="5"/>
  <c r="T90" i="5"/>
  <c r="A93" i="5"/>
  <c r="B92" i="5"/>
  <c r="S90" i="5"/>
  <c r="A94" i="5" l="1"/>
  <c r="B93" i="5"/>
  <c r="O92" i="5"/>
  <c r="G92" i="5"/>
  <c r="C92" i="5"/>
  <c r="X92" i="5"/>
  <c r="P92" i="5"/>
  <c r="H92" i="5"/>
  <c r="D92" i="5"/>
  <c r="Q92" i="5"/>
  <c r="R92" i="5"/>
  <c r="E92" i="5"/>
  <c r="F92" i="5"/>
  <c r="N92" i="5"/>
  <c r="M92" i="5"/>
  <c r="S91" i="5"/>
  <c r="T91" i="5"/>
  <c r="T92" i="5" l="1"/>
  <c r="S92" i="5"/>
  <c r="A95" i="5"/>
  <c r="B94" i="5"/>
  <c r="R93" i="5"/>
  <c r="N93" i="5"/>
  <c r="F93" i="5"/>
  <c r="O93" i="5"/>
  <c r="G93" i="5"/>
  <c r="C93" i="5"/>
  <c r="X93" i="5"/>
  <c r="P93" i="5"/>
  <c r="H93" i="5"/>
  <c r="Q93" i="5"/>
  <c r="M93" i="5"/>
  <c r="D93" i="5"/>
  <c r="E93" i="5"/>
  <c r="S93" i="5" l="1"/>
  <c r="A96" i="5"/>
  <c r="B95" i="5"/>
  <c r="T93" i="5"/>
  <c r="Q94" i="5"/>
  <c r="M94" i="5"/>
  <c r="E94" i="5"/>
  <c r="R94" i="5"/>
  <c r="N94" i="5"/>
  <c r="F94" i="5"/>
  <c r="O94" i="5"/>
  <c r="G94" i="5"/>
  <c r="X94" i="5"/>
  <c r="P94" i="5"/>
  <c r="H94" i="5"/>
  <c r="C94" i="5"/>
  <c r="D94" i="5"/>
  <c r="B96" i="5" l="1"/>
  <c r="A97" i="5"/>
  <c r="X95" i="5"/>
  <c r="P95" i="5"/>
  <c r="H95" i="5"/>
  <c r="D95" i="5"/>
  <c r="Q95" i="5"/>
  <c r="M95" i="5"/>
  <c r="E95" i="5"/>
  <c r="N95" i="5"/>
  <c r="F95" i="5"/>
  <c r="O95" i="5"/>
  <c r="G95" i="5"/>
  <c r="R95" i="5"/>
  <c r="C95" i="5"/>
  <c r="T94" i="5"/>
  <c r="S94" i="5"/>
  <c r="A98" i="5" l="1"/>
  <c r="B97" i="5"/>
  <c r="T95" i="5"/>
  <c r="O96" i="5"/>
  <c r="G96" i="5"/>
  <c r="C96" i="5"/>
  <c r="X96" i="5"/>
  <c r="P96" i="5"/>
  <c r="H96" i="5"/>
  <c r="D96" i="5"/>
  <c r="M96" i="5"/>
  <c r="E96" i="5"/>
  <c r="N96" i="5"/>
  <c r="F96" i="5"/>
  <c r="Q96" i="5"/>
  <c r="R96" i="5"/>
  <c r="S95" i="5"/>
  <c r="R97" i="5" l="1"/>
  <c r="N97" i="5"/>
  <c r="F97" i="5"/>
  <c r="O97" i="5"/>
  <c r="G97" i="5"/>
  <c r="C97" i="5"/>
  <c r="D97" i="5"/>
  <c r="M97" i="5"/>
  <c r="E97" i="5"/>
  <c r="X97" i="5"/>
  <c r="H97" i="5"/>
  <c r="P97" i="5"/>
  <c r="Q97" i="5"/>
  <c r="A99" i="5"/>
  <c r="B98" i="5"/>
  <c r="T96" i="5"/>
  <c r="S96" i="5"/>
  <c r="T97" i="5" l="1"/>
  <c r="S97" i="5"/>
  <c r="A100" i="5"/>
  <c r="B99" i="5"/>
  <c r="Q98" i="5"/>
  <c r="M98" i="5"/>
  <c r="E98" i="5"/>
  <c r="R98" i="5"/>
  <c r="N98" i="5"/>
  <c r="F98" i="5"/>
  <c r="C98" i="5"/>
  <c r="D98" i="5"/>
  <c r="O98" i="5"/>
  <c r="P98" i="5"/>
  <c r="G98" i="5"/>
  <c r="H98" i="5"/>
  <c r="X98" i="5"/>
  <c r="X99" i="5" l="1"/>
  <c r="P99" i="5"/>
  <c r="H99" i="5"/>
  <c r="D99" i="5"/>
  <c r="Q99" i="5"/>
  <c r="M99" i="5"/>
  <c r="E99" i="5"/>
  <c r="R99" i="5"/>
  <c r="C99" i="5"/>
  <c r="F99" i="5"/>
  <c r="G99" i="5"/>
  <c r="N99" i="5"/>
  <c r="O99" i="5"/>
  <c r="T98" i="5"/>
  <c r="S98" i="5"/>
  <c r="A101" i="5"/>
  <c r="B100" i="5"/>
  <c r="O100" i="5" l="1"/>
  <c r="G100" i="5"/>
  <c r="C100" i="5"/>
  <c r="X100" i="5"/>
  <c r="P100" i="5"/>
  <c r="H100" i="5"/>
  <c r="D100" i="5"/>
  <c r="Q100" i="5"/>
  <c r="R100" i="5"/>
  <c r="M100" i="5"/>
  <c r="N100" i="5"/>
  <c r="E100" i="5"/>
  <c r="F100" i="5"/>
  <c r="A102" i="5"/>
  <c r="B101" i="5"/>
  <c r="T99" i="5"/>
  <c r="S99" i="5"/>
  <c r="T100" i="5" l="1"/>
  <c r="S100" i="5"/>
  <c r="A103" i="5"/>
  <c r="B102" i="5"/>
  <c r="R101" i="5"/>
  <c r="N101" i="5"/>
  <c r="F101" i="5"/>
  <c r="O101" i="5"/>
  <c r="G101" i="5"/>
  <c r="C101" i="5"/>
  <c r="X101" i="5"/>
  <c r="P101" i="5"/>
  <c r="H101" i="5"/>
  <c r="Q101" i="5"/>
  <c r="D101" i="5"/>
  <c r="E101" i="5"/>
  <c r="M101" i="5"/>
  <c r="T101" i="5" l="1"/>
  <c r="S101" i="5"/>
  <c r="B103" i="5"/>
  <c r="A104" i="5"/>
  <c r="Q102" i="5"/>
  <c r="M102" i="5"/>
  <c r="E102" i="5"/>
  <c r="R102" i="5"/>
  <c r="N102" i="5"/>
  <c r="F102" i="5"/>
  <c r="O102" i="5"/>
  <c r="G102" i="5"/>
  <c r="X102" i="5"/>
  <c r="P102" i="5"/>
  <c r="H102" i="5"/>
  <c r="C102" i="5"/>
  <c r="D102" i="5"/>
  <c r="A105" i="5" l="1"/>
  <c r="B104" i="5"/>
  <c r="X103" i="5"/>
  <c r="P103" i="5"/>
  <c r="H103" i="5"/>
  <c r="D103" i="5"/>
  <c r="Q103" i="5"/>
  <c r="M103" i="5"/>
  <c r="E103" i="5"/>
  <c r="N103" i="5"/>
  <c r="F103" i="5"/>
  <c r="O103" i="5"/>
  <c r="G103" i="5"/>
  <c r="R103" i="5"/>
  <c r="C103" i="5"/>
  <c r="T102" i="5"/>
  <c r="S102" i="5"/>
  <c r="A106" i="5" l="1"/>
  <c r="B105" i="5"/>
  <c r="T103" i="5"/>
  <c r="O104" i="5"/>
  <c r="G104" i="5"/>
  <c r="C104" i="5"/>
  <c r="X104" i="5"/>
  <c r="P104" i="5"/>
  <c r="H104" i="5"/>
  <c r="D104" i="5"/>
  <c r="M104" i="5"/>
  <c r="E104" i="5"/>
  <c r="N104" i="5"/>
  <c r="F104" i="5"/>
  <c r="Q104" i="5"/>
  <c r="R104" i="5"/>
  <c r="S103" i="5"/>
  <c r="S104" i="5" l="1"/>
  <c r="A107" i="5"/>
  <c r="B107" i="5" s="1"/>
  <c r="B106" i="5"/>
  <c r="T104" i="5"/>
  <c r="R105" i="5"/>
  <c r="N105" i="5"/>
  <c r="F105" i="5"/>
  <c r="O105" i="5"/>
  <c r="G105" i="5"/>
  <c r="C105" i="5"/>
  <c r="D105" i="5"/>
  <c r="M105" i="5"/>
  <c r="E105" i="5"/>
  <c r="P105" i="5"/>
  <c r="Q105" i="5"/>
  <c r="X105" i="5"/>
  <c r="H105" i="5"/>
  <c r="X107" i="5" l="1"/>
  <c r="P107" i="5"/>
  <c r="H107" i="5"/>
  <c r="D107" i="5"/>
  <c r="Q107" i="5"/>
  <c r="M107" i="5"/>
  <c r="E107" i="5"/>
  <c r="R107" i="5"/>
  <c r="C107" i="5"/>
  <c r="N107" i="5"/>
  <c r="O107" i="5"/>
  <c r="F107" i="5"/>
  <c r="G107" i="5"/>
  <c r="Q106" i="5"/>
  <c r="M106" i="5"/>
  <c r="E106" i="5"/>
  <c r="R106" i="5"/>
  <c r="N106" i="5"/>
  <c r="F106" i="5"/>
  <c r="C106" i="5"/>
  <c r="D106" i="5"/>
  <c r="G106" i="5"/>
  <c r="X106" i="5"/>
  <c r="H106" i="5"/>
  <c r="O106" i="5"/>
  <c r="P106" i="5"/>
  <c r="S105" i="5"/>
  <c r="T105" i="5"/>
  <c r="S107" i="5" l="1"/>
  <c r="T106" i="5"/>
  <c r="S106" i="5"/>
  <c r="T107" i="5"/>
  <c r="K35" i="4" l="1"/>
  <c r="K36" i="4"/>
  <c r="F2" i="1" l="1"/>
  <c r="E2" i="1"/>
  <c r="J9" i="4" l="1"/>
  <c r="L9" i="4"/>
  <c r="K9" i="4"/>
  <c r="K6" i="4" s="1"/>
  <c r="P3" i="4"/>
  <c r="O3" i="4"/>
  <c r="J6" i="4"/>
  <c r="L16" i="4"/>
  <c r="K18" i="4"/>
  <c r="K19" i="4" s="1"/>
  <c r="L18" i="4"/>
  <c r="L20" i="4"/>
  <c r="L38" i="4" l="1"/>
  <c r="J10" i="4"/>
  <c r="J13" i="4" s="1"/>
  <c r="S19" i="4"/>
  <c r="L6" i="4"/>
  <c r="A26" i="4" s="1"/>
  <c r="K34" i="4"/>
  <c r="K38" i="4"/>
  <c r="S26" i="4"/>
  <c r="L19" i="4"/>
  <c r="K10" i="4"/>
  <c r="K31" i="4"/>
  <c r="K28" i="4"/>
  <c r="K11" i="4" l="1"/>
  <c r="K13" i="4"/>
  <c r="L34" i="4"/>
  <c r="J38" i="4"/>
  <c r="J29" i="4"/>
  <c r="I107" i="5"/>
  <c r="K107" i="5" s="1"/>
  <c r="U107" i="5" s="1"/>
  <c r="W107" i="5" s="1"/>
  <c r="I105" i="5"/>
  <c r="K105" i="5" s="1"/>
  <c r="U105" i="5" s="1"/>
  <c r="W105" i="5" s="1"/>
  <c r="I103" i="5"/>
  <c r="K103" i="5" s="1"/>
  <c r="U103" i="5" s="1"/>
  <c r="W103" i="5" s="1"/>
  <c r="I101" i="5"/>
  <c r="K101" i="5" s="1"/>
  <c r="U101" i="5" s="1"/>
  <c r="W101" i="5" s="1"/>
  <c r="I99" i="5"/>
  <c r="K99" i="5" s="1"/>
  <c r="U99" i="5" s="1"/>
  <c r="W99" i="5" s="1"/>
  <c r="I97" i="5"/>
  <c r="K97" i="5" s="1"/>
  <c r="U97" i="5" s="1"/>
  <c r="W97" i="5" s="1"/>
  <c r="I95" i="5"/>
  <c r="K95" i="5" s="1"/>
  <c r="U95" i="5" s="1"/>
  <c r="W95" i="5" s="1"/>
  <c r="I93" i="5"/>
  <c r="K93" i="5" s="1"/>
  <c r="U93" i="5" s="1"/>
  <c r="W93" i="5" s="1"/>
  <c r="I91" i="5"/>
  <c r="K91" i="5" s="1"/>
  <c r="U91" i="5" s="1"/>
  <c r="W91" i="5" s="1"/>
  <c r="I89" i="5"/>
  <c r="K89" i="5" s="1"/>
  <c r="U89" i="5" s="1"/>
  <c r="W89" i="5" s="1"/>
  <c r="I87" i="5"/>
  <c r="K87" i="5" s="1"/>
  <c r="U87" i="5" s="1"/>
  <c r="W87" i="5" s="1"/>
  <c r="I85" i="5"/>
  <c r="K85" i="5" s="1"/>
  <c r="U85" i="5" s="1"/>
  <c r="W85" i="5" s="1"/>
  <c r="I83" i="5"/>
  <c r="K83" i="5" s="1"/>
  <c r="U83" i="5" s="1"/>
  <c r="W83" i="5" s="1"/>
  <c r="I81" i="5"/>
  <c r="K81" i="5" s="1"/>
  <c r="U81" i="5" s="1"/>
  <c r="W81" i="5" s="1"/>
  <c r="I79" i="5"/>
  <c r="K79" i="5" s="1"/>
  <c r="U79" i="5" s="1"/>
  <c r="W79" i="5" s="1"/>
  <c r="I77" i="5"/>
  <c r="K77" i="5" s="1"/>
  <c r="U77" i="5" s="1"/>
  <c r="W77" i="5" s="1"/>
  <c r="I75" i="5"/>
  <c r="K75" i="5" s="1"/>
  <c r="U75" i="5" s="1"/>
  <c r="W75" i="5" s="1"/>
  <c r="I73" i="5"/>
  <c r="K73" i="5" s="1"/>
  <c r="U73" i="5" s="1"/>
  <c r="W73" i="5" s="1"/>
  <c r="I71" i="5"/>
  <c r="K71" i="5" s="1"/>
  <c r="U71" i="5" s="1"/>
  <c r="W71" i="5" s="1"/>
  <c r="I69" i="5"/>
  <c r="K69" i="5" s="1"/>
  <c r="U69" i="5" s="1"/>
  <c r="W69" i="5" s="1"/>
  <c r="I67" i="5"/>
  <c r="K67" i="5" s="1"/>
  <c r="U67" i="5" s="1"/>
  <c r="W67" i="5" s="1"/>
  <c r="I65" i="5"/>
  <c r="K65" i="5" s="1"/>
  <c r="U65" i="5" s="1"/>
  <c r="W65" i="5" s="1"/>
  <c r="I63" i="5"/>
  <c r="K63" i="5" s="1"/>
  <c r="U63" i="5" s="1"/>
  <c r="W63" i="5" s="1"/>
  <c r="I61" i="5"/>
  <c r="K61" i="5" s="1"/>
  <c r="U61" i="5" s="1"/>
  <c r="W61" i="5" s="1"/>
  <c r="I59" i="5"/>
  <c r="K59" i="5" s="1"/>
  <c r="U59" i="5" s="1"/>
  <c r="W59" i="5" s="1"/>
  <c r="I57" i="5"/>
  <c r="K57" i="5" s="1"/>
  <c r="U57" i="5" s="1"/>
  <c r="W57" i="5" s="1"/>
  <c r="I55" i="5"/>
  <c r="K55" i="5" s="1"/>
  <c r="U55" i="5" s="1"/>
  <c r="W55" i="5" s="1"/>
  <c r="I53" i="5"/>
  <c r="K53" i="5" s="1"/>
  <c r="U53" i="5" s="1"/>
  <c r="W53" i="5" s="1"/>
  <c r="I51" i="5"/>
  <c r="K51" i="5" s="1"/>
  <c r="U51" i="5" s="1"/>
  <c r="W51" i="5" s="1"/>
  <c r="I49" i="5"/>
  <c r="K49" i="5" s="1"/>
  <c r="U49" i="5" s="1"/>
  <c r="W49" i="5" s="1"/>
  <c r="I47" i="5"/>
  <c r="K47" i="5" s="1"/>
  <c r="U47" i="5" s="1"/>
  <c r="W47" i="5" s="1"/>
  <c r="I45" i="5"/>
  <c r="K45" i="5" s="1"/>
  <c r="U45" i="5" s="1"/>
  <c r="W45" i="5" s="1"/>
  <c r="I43" i="5"/>
  <c r="K43" i="5" s="1"/>
  <c r="U43" i="5" s="1"/>
  <c r="W43" i="5" s="1"/>
  <c r="I41" i="5"/>
  <c r="K41" i="5" s="1"/>
  <c r="U41" i="5" s="1"/>
  <c r="W41" i="5" s="1"/>
  <c r="I39" i="5"/>
  <c r="K39" i="5" s="1"/>
  <c r="U39" i="5" s="1"/>
  <c r="W39" i="5" s="1"/>
  <c r="I37" i="5"/>
  <c r="K37" i="5" s="1"/>
  <c r="U37" i="5" s="1"/>
  <c r="W37" i="5" s="1"/>
  <c r="I35" i="5"/>
  <c r="K35" i="5" s="1"/>
  <c r="U35" i="5" s="1"/>
  <c r="W35" i="5" s="1"/>
  <c r="I33" i="5"/>
  <c r="K33" i="5" s="1"/>
  <c r="U33" i="5" s="1"/>
  <c r="W33" i="5" s="1"/>
  <c r="I31" i="5"/>
  <c r="K31" i="5" s="1"/>
  <c r="U31" i="5" s="1"/>
  <c r="W31" i="5" s="1"/>
  <c r="I29" i="5"/>
  <c r="K29" i="5" s="1"/>
  <c r="U29" i="5" s="1"/>
  <c r="W29" i="5" s="1"/>
  <c r="I27" i="5"/>
  <c r="K27" i="5" s="1"/>
  <c r="U27" i="5" s="1"/>
  <c r="W27" i="5" s="1"/>
  <c r="I25" i="5"/>
  <c r="K25" i="5" s="1"/>
  <c r="U25" i="5" s="1"/>
  <c r="W25" i="5" s="1"/>
  <c r="I23" i="5"/>
  <c r="K23" i="5" s="1"/>
  <c r="U23" i="5" s="1"/>
  <c r="W23" i="5" s="1"/>
  <c r="I21" i="5"/>
  <c r="K21" i="5" s="1"/>
  <c r="U21" i="5" s="1"/>
  <c r="W21" i="5" s="1"/>
  <c r="I19" i="5"/>
  <c r="K19" i="5" s="1"/>
  <c r="U19" i="5" s="1"/>
  <c r="W19" i="5" s="1"/>
  <c r="I17" i="5"/>
  <c r="K17" i="5" s="1"/>
  <c r="U17" i="5" s="1"/>
  <c r="W17" i="5" s="1"/>
  <c r="I15" i="5"/>
  <c r="K15" i="5" s="1"/>
  <c r="U15" i="5" s="1"/>
  <c r="W15" i="5" s="1"/>
  <c r="I13" i="5"/>
  <c r="K13" i="5" s="1"/>
  <c r="U13" i="5" s="1"/>
  <c r="W13" i="5" s="1"/>
  <c r="I11" i="5"/>
  <c r="K11" i="5" s="1"/>
  <c r="U11" i="5" s="1"/>
  <c r="W11" i="5" s="1"/>
  <c r="I9" i="5"/>
  <c r="K9" i="5" s="1"/>
  <c r="U9" i="5" s="1"/>
  <c r="W9" i="5" s="1"/>
  <c r="I7" i="5"/>
  <c r="I100" i="5"/>
  <c r="K100" i="5" s="1"/>
  <c r="U100" i="5" s="1"/>
  <c r="W100" i="5" s="1"/>
  <c r="I94" i="5"/>
  <c r="K94" i="5" s="1"/>
  <c r="U94" i="5" s="1"/>
  <c r="W94" i="5" s="1"/>
  <c r="I90" i="5"/>
  <c r="K90" i="5" s="1"/>
  <c r="U90" i="5" s="1"/>
  <c r="W90" i="5" s="1"/>
  <c r="I86" i="5"/>
  <c r="K86" i="5" s="1"/>
  <c r="U86" i="5" s="1"/>
  <c r="W86" i="5" s="1"/>
  <c r="I82" i="5"/>
  <c r="K82" i="5" s="1"/>
  <c r="U82" i="5" s="1"/>
  <c r="W82" i="5" s="1"/>
  <c r="I78" i="5"/>
  <c r="K78" i="5" s="1"/>
  <c r="U78" i="5" s="1"/>
  <c r="W78" i="5" s="1"/>
  <c r="I74" i="5"/>
  <c r="K74" i="5" s="1"/>
  <c r="U74" i="5" s="1"/>
  <c r="W74" i="5" s="1"/>
  <c r="I70" i="5"/>
  <c r="K70" i="5" s="1"/>
  <c r="U70" i="5" s="1"/>
  <c r="W70" i="5" s="1"/>
  <c r="I66" i="5"/>
  <c r="K66" i="5" s="1"/>
  <c r="U66" i="5" s="1"/>
  <c r="W66" i="5" s="1"/>
  <c r="I64" i="5"/>
  <c r="K64" i="5" s="1"/>
  <c r="U64" i="5" s="1"/>
  <c r="W64" i="5" s="1"/>
  <c r="I60" i="5"/>
  <c r="K60" i="5" s="1"/>
  <c r="U60" i="5" s="1"/>
  <c r="W60" i="5" s="1"/>
  <c r="I56" i="5"/>
  <c r="K56" i="5" s="1"/>
  <c r="U56" i="5" s="1"/>
  <c r="W56" i="5" s="1"/>
  <c r="I50" i="5"/>
  <c r="K50" i="5" s="1"/>
  <c r="U50" i="5" s="1"/>
  <c r="W50" i="5" s="1"/>
  <c r="I46" i="5"/>
  <c r="K46" i="5" s="1"/>
  <c r="U46" i="5" s="1"/>
  <c r="W46" i="5" s="1"/>
  <c r="I42" i="5"/>
  <c r="K42" i="5" s="1"/>
  <c r="U42" i="5" s="1"/>
  <c r="W42" i="5" s="1"/>
  <c r="I38" i="5"/>
  <c r="K38" i="5" s="1"/>
  <c r="U38" i="5" s="1"/>
  <c r="W38" i="5" s="1"/>
  <c r="I34" i="5"/>
  <c r="K34" i="5" s="1"/>
  <c r="U34" i="5" s="1"/>
  <c r="W34" i="5" s="1"/>
  <c r="I30" i="5"/>
  <c r="K30" i="5" s="1"/>
  <c r="U30" i="5" s="1"/>
  <c r="W30" i="5" s="1"/>
  <c r="I26" i="5"/>
  <c r="K26" i="5" s="1"/>
  <c r="U26" i="5" s="1"/>
  <c r="W26" i="5" s="1"/>
  <c r="I22" i="5"/>
  <c r="K22" i="5" s="1"/>
  <c r="U22" i="5" s="1"/>
  <c r="W22" i="5" s="1"/>
  <c r="I18" i="5"/>
  <c r="K18" i="5" s="1"/>
  <c r="U18" i="5" s="1"/>
  <c r="W18" i="5" s="1"/>
  <c r="I14" i="5"/>
  <c r="K14" i="5" s="1"/>
  <c r="U14" i="5" s="1"/>
  <c r="W14" i="5" s="1"/>
  <c r="I10" i="5"/>
  <c r="K10" i="5" s="1"/>
  <c r="U10" i="5" s="1"/>
  <c r="W10" i="5" s="1"/>
  <c r="J106" i="5"/>
  <c r="L106" i="5" s="1"/>
  <c r="V106" i="5" s="1"/>
  <c r="Y106" i="5" s="1"/>
  <c r="J98" i="5"/>
  <c r="L98" i="5" s="1"/>
  <c r="V98" i="5" s="1"/>
  <c r="Y98" i="5" s="1"/>
  <c r="J94" i="5"/>
  <c r="L94" i="5" s="1"/>
  <c r="V94" i="5" s="1"/>
  <c r="Y94" i="5" s="1"/>
  <c r="J92" i="5"/>
  <c r="L92" i="5" s="1"/>
  <c r="V92" i="5" s="1"/>
  <c r="Y92" i="5" s="1"/>
  <c r="J90" i="5"/>
  <c r="L90" i="5" s="1"/>
  <c r="V90" i="5" s="1"/>
  <c r="Y90" i="5" s="1"/>
  <c r="J88" i="5"/>
  <c r="L88" i="5" s="1"/>
  <c r="V88" i="5" s="1"/>
  <c r="Y88" i="5" s="1"/>
  <c r="J86" i="5"/>
  <c r="L86" i="5" s="1"/>
  <c r="V86" i="5" s="1"/>
  <c r="Y86" i="5" s="1"/>
  <c r="J78" i="5"/>
  <c r="L78" i="5" s="1"/>
  <c r="V78" i="5" s="1"/>
  <c r="Y78" i="5" s="1"/>
  <c r="J74" i="5"/>
  <c r="L74" i="5" s="1"/>
  <c r="V74" i="5" s="1"/>
  <c r="Y74" i="5" s="1"/>
  <c r="J70" i="5"/>
  <c r="L70" i="5" s="1"/>
  <c r="V70" i="5" s="1"/>
  <c r="Y70" i="5" s="1"/>
  <c r="J66" i="5"/>
  <c r="L66" i="5" s="1"/>
  <c r="V66" i="5" s="1"/>
  <c r="Y66" i="5" s="1"/>
  <c r="J62" i="5"/>
  <c r="L62" i="5" s="1"/>
  <c r="V62" i="5" s="1"/>
  <c r="Y62" i="5" s="1"/>
  <c r="J58" i="5"/>
  <c r="L58" i="5" s="1"/>
  <c r="V58" i="5" s="1"/>
  <c r="Y58" i="5" s="1"/>
  <c r="J54" i="5"/>
  <c r="L54" i="5" s="1"/>
  <c r="V54" i="5" s="1"/>
  <c r="Y54" i="5" s="1"/>
  <c r="J50" i="5"/>
  <c r="L50" i="5" s="1"/>
  <c r="V50" i="5" s="1"/>
  <c r="Y50" i="5" s="1"/>
  <c r="J46" i="5"/>
  <c r="L46" i="5" s="1"/>
  <c r="V46" i="5" s="1"/>
  <c r="Y46" i="5" s="1"/>
  <c r="J42" i="5"/>
  <c r="L42" i="5" s="1"/>
  <c r="V42" i="5" s="1"/>
  <c r="Y42" i="5" s="1"/>
  <c r="J38" i="5"/>
  <c r="L38" i="5" s="1"/>
  <c r="V38" i="5" s="1"/>
  <c r="Y38" i="5" s="1"/>
  <c r="J34" i="5"/>
  <c r="L34" i="5" s="1"/>
  <c r="V34" i="5" s="1"/>
  <c r="Y34" i="5" s="1"/>
  <c r="J30" i="5"/>
  <c r="L30" i="5" s="1"/>
  <c r="V30" i="5" s="1"/>
  <c r="Y30" i="5" s="1"/>
  <c r="J26" i="5"/>
  <c r="L26" i="5" s="1"/>
  <c r="V26" i="5" s="1"/>
  <c r="Y26" i="5" s="1"/>
  <c r="J20" i="5"/>
  <c r="L20" i="5" s="1"/>
  <c r="V20" i="5" s="1"/>
  <c r="Y20" i="5" s="1"/>
  <c r="J16" i="5"/>
  <c r="L16" i="5" s="1"/>
  <c r="V16" i="5" s="1"/>
  <c r="Y16" i="5" s="1"/>
  <c r="J12" i="5"/>
  <c r="L12" i="5" s="1"/>
  <c r="V12" i="5" s="1"/>
  <c r="Y12" i="5" s="1"/>
  <c r="J8" i="5"/>
  <c r="L8" i="5" s="1"/>
  <c r="V8" i="5" s="1"/>
  <c r="Y8" i="5" s="1"/>
  <c r="J107" i="5"/>
  <c r="L107" i="5" s="1"/>
  <c r="V107" i="5" s="1"/>
  <c r="Y107" i="5" s="1"/>
  <c r="J105" i="5"/>
  <c r="L105" i="5" s="1"/>
  <c r="V105" i="5" s="1"/>
  <c r="Y105" i="5" s="1"/>
  <c r="J103" i="5"/>
  <c r="L103" i="5" s="1"/>
  <c r="V103" i="5" s="1"/>
  <c r="Y103" i="5" s="1"/>
  <c r="J101" i="5"/>
  <c r="L101" i="5" s="1"/>
  <c r="V101" i="5" s="1"/>
  <c r="Y101" i="5" s="1"/>
  <c r="J99" i="5"/>
  <c r="L99" i="5" s="1"/>
  <c r="V99" i="5" s="1"/>
  <c r="Y99" i="5" s="1"/>
  <c r="J97" i="5"/>
  <c r="L97" i="5" s="1"/>
  <c r="V97" i="5" s="1"/>
  <c r="Y97" i="5" s="1"/>
  <c r="J95" i="5"/>
  <c r="L95" i="5" s="1"/>
  <c r="V95" i="5" s="1"/>
  <c r="Y95" i="5" s="1"/>
  <c r="J93" i="5"/>
  <c r="L93" i="5" s="1"/>
  <c r="V93" i="5" s="1"/>
  <c r="Y93" i="5" s="1"/>
  <c r="J91" i="5"/>
  <c r="L91" i="5" s="1"/>
  <c r="V91" i="5" s="1"/>
  <c r="Y91" i="5" s="1"/>
  <c r="J89" i="5"/>
  <c r="L89" i="5" s="1"/>
  <c r="V89" i="5" s="1"/>
  <c r="Y89" i="5" s="1"/>
  <c r="J87" i="5"/>
  <c r="L87" i="5" s="1"/>
  <c r="V87" i="5" s="1"/>
  <c r="Y87" i="5" s="1"/>
  <c r="J85" i="5"/>
  <c r="L85" i="5" s="1"/>
  <c r="V85" i="5" s="1"/>
  <c r="Y85" i="5" s="1"/>
  <c r="J83" i="5"/>
  <c r="L83" i="5" s="1"/>
  <c r="V83" i="5" s="1"/>
  <c r="Y83" i="5" s="1"/>
  <c r="J81" i="5"/>
  <c r="L81" i="5" s="1"/>
  <c r="V81" i="5" s="1"/>
  <c r="Y81" i="5" s="1"/>
  <c r="J79" i="5"/>
  <c r="L79" i="5" s="1"/>
  <c r="V79" i="5" s="1"/>
  <c r="Y79" i="5" s="1"/>
  <c r="J77" i="5"/>
  <c r="L77" i="5" s="1"/>
  <c r="V77" i="5" s="1"/>
  <c r="Y77" i="5" s="1"/>
  <c r="J75" i="5"/>
  <c r="L75" i="5" s="1"/>
  <c r="V75" i="5" s="1"/>
  <c r="Y75" i="5" s="1"/>
  <c r="J73" i="5"/>
  <c r="L73" i="5" s="1"/>
  <c r="V73" i="5" s="1"/>
  <c r="Y73" i="5" s="1"/>
  <c r="J71" i="5"/>
  <c r="L71" i="5" s="1"/>
  <c r="V71" i="5" s="1"/>
  <c r="Y71" i="5" s="1"/>
  <c r="J69" i="5"/>
  <c r="L69" i="5" s="1"/>
  <c r="V69" i="5" s="1"/>
  <c r="Y69" i="5" s="1"/>
  <c r="J67" i="5"/>
  <c r="L67" i="5" s="1"/>
  <c r="V67" i="5" s="1"/>
  <c r="Y67" i="5" s="1"/>
  <c r="J65" i="5"/>
  <c r="L65" i="5" s="1"/>
  <c r="V65" i="5" s="1"/>
  <c r="Y65" i="5" s="1"/>
  <c r="J63" i="5"/>
  <c r="L63" i="5" s="1"/>
  <c r="V63" i="5" s="1"/>
  <c r="Y63" i="5" s="1"/>
  <c r="J61" i="5"/>
  <c r="L61" i="5" s="1"/>
  <c r="V61" i="5" s="1"/>
  <c r="Y61" i="5" s="1"/>
  <c r="J59" i="5"/>
  <c r="L59" i="5" s="1"/>
  <c r="V59" i="5" s="1"/>
  <c r="Y59" i="5" s="1"/>
  <c r="J57" i="5"/>
  <c r="L57" i="5" s="1"/>
  <c r="V57" i="5" s="1"/>
  <c r="Y57" i="5" s="1"/>
  <c r="J55" i="5"/>
  <c r="L55" i="5" s="1"/>
  <c r="V55" i="5" s="1"/>
  <c r="Y55" i="5" s="1"/>
  <c r="J53" i="5"/>
  <c r="L53" i="5" s="1"/>
  <c r="V53" i="5" s="1"/>
  <c r="Y53" i="5" s="1"/>
  <c r="J51" i="5"/>
  <c r="L51" i="5" s="1"/>
  <c r="V51" i="5" s="1"/>
  <c r="Y51" i="5" s="1"/>
  <c r="J49" i="5"/>
  <c r="L49" i="5" s="1"/>
  <c r="V49" i="5" s="1"/>
  <c r="Y49" i="5" s="1"/>
  <c r="J47" i="5"/>
  <c r="L47" i="5" s="1"/>
  <c r="V47" i="5" s="1"/>
  <c r="Y47" i="5" s="1"/>
  <c r="J45" i="5"/>
  <c r="L45" i="5" s="1"/>
  <c r="V45" i="5" s="1"/>
  <c r="Y45" i="5" s="1"/>
  <c r="J43" i="5"/>
  <c r="L43" i="5" s="1"/>
  <c r="V43" i="5" s="1"/>
  <c r="Y43" i="5" s="1"/>
  <c r="J41" i="5"/>
  <c r="L41" i="5" s="1"/>
  <c r="V41" i="5" s="1"/>
  <c r="Y41" i="5" s="1"/>
  <c r="J39" i="5"/>
  <c r="L39" i="5" s="1"/>
  <c r="V39" i="5" s="1"/>
  <c r="Y39" i="5" s="1"/>
  <c r="J37" i="5"/>
  <c r="L37" i="5" s="1"/>
  <c r="V37" i="5" s="1"/>
  <c r="Y37" i="5" s="1"/>
  <c r="J35" i="5"/>
  <c r="L35" i="5" s="1"/>
  <c r="V35" i="5" s="1"/>
  <c r="Y35" i="5" s="1"/>
  <c r="J33" i="5"/>
  <c r="L33" i="5" s="1"/>
  <c r="V33" i="5" s="1"/>
  <c r="Y33" i="5" s="1"/>
  <c r="J31" i="5"/>
  <c r="L31" i="5" s="1"/>
  <c r="V31" i="5" s="1"/>
  <c r="Y31" i="5" s="1"/>
  <c r="J29" i="5"/>
  <c r="L29" i="5" s="1"/>
  <c r="V29" i="5" s="1"/>
  <c r="Y29" i="5" s="1"/>
  <c r="J27" i="5"/>
  <c r="L27" i="5" s="1"/>
  <c r="V27" i="5" s="1"/>
  <c r="Y27" i="5" s="1"/>
  <c r="J25" i="5"/>
  <c r="L25" i="5" s="1"/>
  <c r="V25" i="5" s="1"/>
  <c r="Y25" i="5" s="1"/>
  <c r="J23" i="5"/>
  <c r="L23" i="5" s="1"/>
  <c r="V23" i="5" s="1"/>
  <c r="Y23" i="5" s="1"/>
  <c r="J21" i="5"/>
  <c r="L21" i="5" s="1"/>
  <c r="V21" i="5" s="1"/>
  <c r="Y21" i="5" s="1"/>
  <c r="J19" i="5"/>
  <c r="L19" i="5" s="1"/>
  <c r="V19" i="5" s="1"/>
  <c r="Y19" i="5" s="1"/>
  <c r="J17" i="5"/>
  <c r="L17" i="5" s="1"/>
  <c r="V17" i="5" s="1"/>
  <c r="Y17" i="5" s="1"/>
  <c r="J15" i="5"/>
  <c r="L15" i="5" s="1"/>
  <c r="V15" i="5" s="1"/>
  <c r="Y15" i="5" s="1"/>
  <c r="J13" i="5"/>
  <c r="L13" i="5" s="1"/>
  <c r="V13" i="5" s="1"/>
  <c r="Y13" i="5" s="1"/>
  <c r="J11" i="5"/>
  <c r="J9" i="5"/>
  <c r="L9" i="5" s="1"/>
  <c r="V9" i="5" s="1"/>
  <c r="Y9" i="5" s="1"/>
  <c r="J7" i="5"/>
  <c r="I106" i="5"/>
  <c r="K106" i="5" s="1"/>
  <c r="U106" i="5" s="1"/>
  <c r="W106" i="5" s="1"/>
  <c r="I104" i="5"/>
  <c r="K104" i="5" s="1"/>
  <c r="U104" i="5" s="1"/>
  <c r="W104" i="5" s="1"/>
  <c r="I102" i="5"/>
  <c r="K102" i="5" s="1"/>
  <c r="U102" i="5" s="1"/>
  <c r="W102" i="5" s="1"/>
  <c r="I98" i="5"/>
  <c r="K98" i="5" s="1"/>
  <c r="U98" i="5" s="1"/>
  <c r="W98" i="5" s="1"/>
  <c r="I96" i="5"/>
  <c r="K96" i="5" s="1"/>
  <c r="U96" i="5" s="1"/>
  <c r="W96" i="5" s="1"/>
  <c r="I92" i="5"/>
  <c r="K92" i="5" s="1"/>
  <c r="U92" i="5" s="1"/>
  <c r="W92" i="5" s="1"/>
  <c r="I88" i="5"/>
  <c r="K88" i="5" s="1"/>
  <c r="U88" i="5" s="1"/>
  <c r="W88" i="5" s="1"/>
  <c r="I84" i="5"/>
  <c r="K84" i="5" s="1"/>
  <c r="U84" i="5" s="1"/>
  <c r="W84" i="5" s="1"/>
  <c r="I80" i="5"/>
  <c r="K80" i="5" s="1"/>
  <c r="U80" i="5" s="1"/>
  <c r="W80" i="5" s="1"/>
  <c r="I76" i="5"/>
  <c r="K76" i="5" s="1"/>
  <c r="U76" i="5" s="1"/>
  <c r="W76" i="5" s="1"/>
  <c r="I72" i="5"/>
  <c r="K72" i="5" s="1"/>
  <c r="U72" i="5" s="1"/>
  <c r="W72" i="5" s="1"/>
  <c r="I68" i="5"/>
  <c r="K68" i="5" s="1"/>
  <c r="U68" i="5" s="1"/>
  <c r="W68" i="5" s="1"/>
  <c r="I62" i="5"/>
  <c r="K62" i="5" s="1"/>
  <c r="U62" i="5" s="1"/>
  <c r="W62" i="5" s="1"/>
  <c r="I58" i="5"/>
  <c r="K58" i="5" s="1"/>
  <c r="U58" i="5" s="1"/>
  <c r="W58" i="5" s="1"/>
  <c r="I54" i="5"/>
  <c r="K54" i="5" s="1"/>
  <c r="U54" i="5" s="1"/>
  <c r="W54" i="5" s="1"/>
  <c r="I52" i="5"/>
  <c r="K52" i="5" s="1"/>
  <c r="U52" i="5" s="1"/>
  <c r="W52" i="5" s="1"/>
  <c r="I48" i="5"/>
  <c r="K48" i="5" s="1"/>
  <c r="U48" i="5" s="1"/>
  <c r="W48" i="5" s="1"/>
  <c r="I44" i="5"/>
  <c r="K44" i="5" s="1"/>
  <c r="U44" i="5" s="1"/>
  <c r="W44" i="5" s="1"/>
  <c r="I40" i="5"/>
  <c r="K40" i="5" s="1"/>
  <c r="U40" i="5" s="1"/>
  <c r="W40" i="5" s="1"/>
  <c r="I36" i="5"/>
  <c r="K36" i="5" s="1"/>
  <c r="U36" i="5" s="1"/>
  <c r="W36" i="5" s="1"/>
  <c r="I32" i="5"/>
  <c r="K32" i="5" s="1"/>
  <c r="U32" i="5" s="1"/>
  <c r="W32" i="5" s="1"/>
  <c r="I28" i="5"/>
  <c r="K28" i="5" s="1"/>
  <c r="U28" i="5" s="1"/>
  <c r="W28" i="5" s="1"/>
  <c r="I24" i="5"/>
  <c r="K24" i="5" s="1"/>
  <c r="U24" i="5" s="1"/>
  <c r="W24" i="5" s="1"/>
  <c r="I20" i="5"/>
  <c r="K20" i="5" s="1"/>
  <c r="U20" i="5" s="1"/>
  <c r="W20" i="5" s="1"/>
  <c r="I16" i="5"/>
  <c r="K16" i="5" s="1"/>
  <c r="U16" i="5" s="1"/>
  <c r="W16" i="5" s="1"/>
  <c r="I12" i="5"/>
  <c r="K12" i="5" s="1"/>
  <c r="U12" i="5" s="1"/>
  <c r="W12" i="5" s="1"/>
  <c r="I8" i="5"/>
  <c r="K8" i="5" s="1"/>
  <c r="U8" i="5" s="1"/>
  <c r="W8" i="5" s="1"/>
  <c r="J104" i="5"/>
  <c r="L104" i="5" s="1"/>
  <c r="V104" i="5" s="1"/>
  <c r="Y104" i="5" s="1"/>
  <c r="J102" i="5"/>
  <c r="L102" i="5" s="1"/>
  <c r="V102" i="5" s="1"/>
  <c r="Y102" i="5" s="1"/>
  <c r="J100" i="5"/>
  <c r="L100" i="5" s="1"/>
  <c r="V100" i="5" s="1"/>
  <c r="Y100" i="5" s="1"/>
  <c r="J96" i="5"/>
  <c r="L96" i="5" s="1"/>
  <c r="V96" i="5" s="1"/>
  <c r="Y96" i="5" s="1"/>
  <c r="J84" i="5"/>
  <c r="L84" i="5" s="1"/>
  <c r="V84" i="5" s="1"/>
  <c r="Y84" i="5" s="1"/>
  <c r="J82" i="5"/>
  <c r="L82" i="5" s="1"/>
  <c r="V82" i="5" s="1"/>
  <c r="Y82" i="5" s="1"/>
  <c r="J80" i="5"/>
  <c r="L80" i="5" s="1"/>
  <c r="V80" i="5" s="1"/>
  <c r="Y80" i="5" s="1"/>
  <c r="J76" i="5"/>
  <c r="L76" i="5" s="1"/>
  <c r="V76" i="5" s="1"/>
  <c r="Y76" i="5" s="1"/>
  <c r="J72" i="5"/>
  <c r="L72" i="5" s="1"/>
  <c r="V72" i="5" s="1"/>
  <c r="Y72" i="5" s="1"/>
  <c r="J68" i="5"/>
  <c r="L68" i="5" s="1"/>
  <c r="V68" i="5" s="1"/>
  <c r="Y68" i="5" s="1"/>
  <c r="J64" i="5"/>
  <c r="L64" i="5" s="1"/>
  <c r="V64" i="5" s="1"/>
  <c r="Y64" i="5" s="1"/>
  <c r="J60" i="5"/>
  <c r="L60" i="5" s="1"/>
  <c r="V60" i="5" s="1"/>
  <c r="Y60" i="5" s="1"/>
  <c r="J56" i="5"/>
  <c r="L56" i="5" s="1"/>
  <c r="V56" i="5" s="1"/>
  <c r="Y56" i="5" s="1"/>
  <c r="J52" i="5"/>
  <c r="L52" i="5" s="1"/>
  <c r="V52" i="5" s="1"/>
  <c r="Y52" i="5" s="1"/>
  <c r="J48" i="5"/>
  <c r="L48" i="5" s="1"/>
  <c r="V48" i="5" s="1"/>
  <c r="Y48" i="5" s="1"/>
  <c r="J44" i="5"/>
  <c r="L44" i="5" s="1"/>
  <c r="V44" i="5" s="1"/>
  <c r="Y44" i="5" s="1"/>
  <c r="J40" i="5"/>
  <c r="L40" i="5" s="1"/>
  <c r="V40" i="5" s="1"/>
  <c r="Y40" i="5" s="1"/>
  <c r="J36" i="5"/>
  <c r="L36" i="5" s="1"/>
  <c r="V36" i="5" s="1"/>
  <c r="Y36" i="5" s="1"/>
  <c r="J32" i="5"/>
  <c r="L32" i="5" s="1"/>
  <c r="V32" i="5" s="1"/>
  <c r="Y32" i="5" s="1"/>
  <c r="J28" i="5"/>
  <c r="L28" i="5" s="1"/>
  <c r="V28" i="5" s="1"/>
  <c r="Y28" i="5" s="1"/>
  <c r="J24" i="5"/>
  <c r="L24" i="5" s="1"/>
  <c r="V24" i="5" s="1"/>
  <c r="Y24" i="5" s="1"/>
  <c r="J22" i="5"/>
  <c r="L22" i="5" s="1"/>
  <c r="V22" i="5" s="1"/>
  <c r="Y22" i="5" s="1"/>
  <c r="J18" i="5"/>
  <c r="L18" i="5" s="1"/>
  <c r="V18" i="5" s="1"/>
  <c r="Y18" i="5" s="1"/>
  <c r="J14" i="5"/>
  <c r="L14" i="5" s="1"/>
  <c r="V14" i="5" s="1"/>
  <c r="Y14" i="5" s="1"/>
  <c r="J10" i="5"/>
  <c r="L10" i="5" s="1"/>
  <c r="V10" i="5" s="1"/>
  <c r="Y10" i="5" s="1"/>
  <c r="K7" i="5"/>
  <c r="L11" i="5"/>
  <c r="V11" i="5" s="1"/>
  <c r="Y11" i="5" s="1"/>
  <c r="S35" i="4"/>
  <c r="S23" i="4" s="1"/>
  <c r="L10" i="4"/>
  <c r="J26" i="4" s="1"/>
  <c r="L7" i="4"/>
  <c r="L31" i="4"/>
  <c r="L28" i="4"/>
  <c r="L8" i="4"/>
  <c r="K14" i="4"/>
  <c r="K15" i="4" s="1"/>
  <c r="K12" i="4"/>
  <c r="K21" i="4" s="1"/>
  <c r="L7" i="5" l="1"/>
  <c r="V7" i="5" s="1"/>
  <c r="Y7" i="5" s="1"/>
  <c r="U7" i="5"/>
  <c r="W7" i="5" s="1"/>
  <c r="W5" i="5" s="1"/>
  <c r="L12" i="4"/>
  <c r="L27" i="4"/>
  <c r="L13" i="4"/>
  <c r="L14" i="4"/>
  <c r="L15" i="4" s="1"/>
  <c r="L11" i="4"/>
  <c r="K17" i="4"/>
  <c r="K22" i="4"/>
  <c r="K24" i="4"/>
  <c r="L32" i="4" l="1"/>
  <c r="A27" i="4"/>
  <c r="A25" i="4" s="1"/>
  <c r="N37" i="4"/>
  <c r="L17" i="4"/>
  <c r="X5" i="5"/>
  <c r="S21" i="4" s="1"/>
  <c r="Y5" i="5"/>
  <c r="S22" i="4" s="1"/>
  <c r="L21" i="4"/>
  <c r="L24" i="4"/>
  <c r="L22" i="4"/>
  <c r="L33" i="4" s="1"/>
  <c r="K23" i="4"/>
  <c r="K25" i="4" s="1"/>
  <c r="K33" i="4"/>
  <c r="L23" i="4" l="1"/>
  <c r="L25" i="4" s="1"/>
  <c r="J37" i="4" s="1"/>
  <c r="K37" i="4"/>
</calcChain>
</file>

<file path=xl/comments1.xml><?xml version="1.0" encoding="utf-8"?>
<comments xmlns="http://schemas.openxmlformats.org/spreadsheetml/2006/main">
  <authors>
    <author>Gregory.Dygert</author>
    <author>andrea.longobardi</author>
  </authors>
  <commentList>
    <comment ref="H5" authorId="0">
      <text>
        <r>
          <rPr>
            <b/>
            <sz val="11"/>
            <color indexed="81"/>
            <rFont val="Tahoma"/>
            <family val="2"/>
          </rPr>
          <t>These calculations apply for continuous conduction mode only (i.e. for Iout &gt; Ic).</t>
        </r>
        <r>
          <rPr>
            <sz val="11"/>
            <color indexed="81"/>
            <rFont val="Tahoma"/>
            <family val="2"/>
          </rPr>
          <t xml:space="preserve">
</t>
        </r>
      </text>
    </comment>
    <comment ref="A6" authorId="0">
      <text>
        <r>
          <rPr>
            <b/>
            <sz val="11"/>
            <color indexed="81"/>
            <rFont val="Tahoma"/>
            <family val="2"/>
          </rPr>
          <t>Select either MAX16990 or MAX16992.  This affects the oscillator RC component, duty cycle limit and frequency calculations.</t>
        </r>
        <r>
          <rPr>
            <sz val="11"/>
            <color indexed="81"/>
            <rFont val="Tahoma"/>
            <family val="2"/>
          </rPr>
          <t xml:space="preserve">
</t>
        </r>
      </text>
    </comment>
    <comment ref="H6" authorId="0">
      <text>
        <r>
          <rPr>
            <b/>
            <sz val="11"/>
            <color indexed="81"/>
            <rFont val="Tahoma"/>
            <family val="2"/>
          </rPr>
          <t xml:space="preserve">Based on the equation D=(Vout+Vd-Vin)/(Vout+Vd-Vds-Vcs)
</t>
        </r>
        <r>
          <rPr>
            <sz val="11"/>
            <color indexed="81"/>
            <rFont val="Tahoma"/>
            <family val="2"/>
          </rPr>
          <t xml:space="preserve">
</t>
        </r>
      </text>
    </comment>
    <comment ref="Q6" authorId="1">
      <text>
        <r>
          <rPr>
            <b/>
            <sz val="11"/>
            <color indexed="81"/>
            <rFont val="Tahoma"/>
            <family val="2"/>
          </rPr>
          <t>Enter the VIN voltage for compensation, worst case is VIN min</t>
        </r>
      </text>
    </comment>
    <comment ref="A7" authorId="0">
      <text>
        <r>
          <rPr>
            <b/>
            <sz val="11"/>
            <color indexed="81"/>
            <rFont val="Tahoma"/>
            <family val="2"/>
          </rPr>
          <t>Enter the min and max input voltage.</t>
        </r>
      </text>
    </comment>
    <comment ref="H7" authorId="0">
      <text>
        <r>
          <rPr>
            <b/>
            <sz val="11"/>
            <color indexed="81"/>
            <rFont val="Tahoma"/>
            <family val="2"/>
          </rPr>
          <t>This is the minimum inductance required to maintain continuous conduction above the specified minimum output current.  Based on the equation
Lc=(Vout*D*(1-D)^2)/(2*Io_mn*f).  It is maximum at D=33%.</t>
        </r>
        <r>
          <rPr>
            <sz val="11"/>
            <color indexed="81"/>
            <rFont val="Tahoma"/>
            <family val="2"/>
          </rPr>
          <t xml:space="preserve">
</t>
        </r>
      </text>
    </comment>
    <comment ref="L7" authorId="0">
      <text>
        <r>
          <rPr>
            <sz val="11"/>
            <color indexed="81"/>
            <rFont val="Tahoma"/>
            <family val="2"/>
          </rPr>
          <t>This is the worst case maximum value.</t>
        </r>
        <r>
          <rPr>
            <sz val="11"/>
            <color indexed="81"/>
            <rFont val="Tahoma"/>
            <family val="2"/>
          </rPr>
          <t xml:space="preserve">
</t>
        </r>
      </text>
    </comment>
    <comment ref="Q7" authorId="1">
      <text>
        <r>
          <rPr>
            <b/>
            <sz val="11"/>
            <color indexed="81"/>
            <rFont val="Tahoma"/>
            <family val="2"/>
          </rPr>
          <t>Enter the Iout current for compensation, worst case is Iout max</t>
        </r>
      </text>
    </comment>
    <comment ref="A8" authorId="0">
      <text>
        <r>
          <rPr>
            <b/>
            <sz val="11"/>
            <color indexed="81"/>
            <rFont val="Tahoma"/>
            <family val="2"/>
          </rPr>
          <t>Enter the nominal output voltage.</t>
        </r>
        <r>
          <rPr>
            <sz val="11"/>
            <color indexed="81"/>
            <rFont val="Tahoma"/>
            <family val="2"/>
          </rPr>
          <t xml:space="preserve">
</t>
        </r>
      </text>
    </comment>
    <comment ref="H8" authorId="0">
      <text>
        <r>
          <rPr>
            <b/>
            <sz val="11"/>
            <color indexed="81"/>
            <rFont val="Tahoma"/>
            <family val="2"/>
          </rPr>
          <t>This is the minimum output current required to maintain continuous conduction given the selected inductance.  Increasing the selected inductance will decrease the critical current level.  Based on the equation Ic=(Vout*D*(1-D)^2)/(2*L*f).  It is maximum at D=33%.</t>
        </r>
      </text>
    </comment>
    <comment ref="L8" authorId="0">
      <text>
        <r>
          <rPr>
            <sz val="11"/>
            <color indexed="81"/>
            <rFont val="Tahoma"/>
            <family val="2"/>
          </rPr>
          <t>This is the worst case maximum value.</t>
        </r>
        <r>
          <rPr>
            <sz val="11"/>
            <color indexed="81"/>
            <rFont val="Tahoma"/>
            <family val="2"/>
          </rPr>
          <t xml:space="preserve">
</t>
        </r>
      </text>
    </comment>
    <comment ref="Q8" authorId="1">
      <text>
        <r>
          <rPr>
            <b/>
            <sz val="11"/>
            <color indexed="81"/>
            <rFont val="Tahoma"/>
            <family val="2"/>
          </rPr>
          <t>Enter Ouptut Capacitor</t>
        </r>
      </text>
    </comment>
    <comment ref="A9" authorId="0">
      <text>
        <r>
          <rPr>
            <b/>
            <sz val="11"/>
            <color indexed="81"/>
            <rFont val="Tahoma"/>
            <family val="2"/>
          </rPr>
          <t>Enter the min and max average output current.  Iout_min will be used to calculate the critical inductance (the inductance required to maintain continuous conduction mode).  Lower values of Iout_mn will increase the required inductance.  Iout_mn is typically 10-50% of Iout_mx.</t>
        </r>
        <r>
          <rPr>
            <sz val="11"/>
            <color indexed="81"/>
            <rFont val="Tahoma"/>
            <family val="2"/>
          </rPr>
          <t xml:space="preserve">
</t>
        </r>
      </text>
    </comment>
    <comment ref="H9" authorId="0">
      <text>
        <r>
          <rPr>
            <b/>
            <sz val="11"/>
            <color indexed="81"/>
            <rFont val="Tahoma"/>
            <family val="2"/>
          </rPr>
          <t>This is the average input and inductor current.  Based on the equation Iavg=Io/(1-D).</t>
        </r>
        <r>
          <rPr>
            <sz val="11"/>
            <color indexed="81"/>
            <rFont val="Tahoma"/>
            <family val="2"/>
          </rPr>
          <t xml:space="preserve">
</t>
        </r>
      </text>
    </comment>
    <comment ref="Q9" authorId="1">
      <text>
        <r>
          <rPr>
            <b/>
            <sz val="11"/>
            <color indexed="81"/>
            <rFont val="Tahoma"/>
            <family val="2"/>
          </rPr>
          <t>Enter Output Capacitor ESR</t>
        </r>
      </text>
    </comment>
    <comment ref="A10" authorId="0">
      <text>
        <r>
          <rPr>
            <b/>
            <sz val="11"/>
            <color indexed="81"/>
            <rFont val="Tahoma"/>
            <family val="2"/>
          </rPr>
          <t xml:space="preserve">Enter the min and max diode forward voltage.  Typical range is 0.3 to 1.0V depending on device, current and temperature. </t>
        </r>
        <r>
          <rPr>
            <sz val="11"/>
            <color indexed="81"/>
            <rFont val="Tahoma"/>
            <family val="2"/>
          </rPr>
          <t xml:space="preserve">
</t>
        </r>
      </text>
    </comment>
    <comment ref="H10" authorId="0">
      <text>
        <r>
          <rPr>
            <b/>
            <sz val="11"/>
            <color indexed="81"/>
            <rFont val="Tahoma"/>
            <family val="2"/>
          </rPr>
          <t>This is the inductor peak-peak ripple current amplitude at Dmax based on the equation Ipp=(Vout+Vd-Vin)*(1-D)/(L*F).  It is maximum at D=50%, or Vout=2*Vin.</t>
        </r>
        <r>
          <rPr>
            <sz val="11"/>
            <color indexed="81"/>
            <rFont val="Tahoma"/>
            <family val="2"/>
          </rPr>
          <t xml:space="preserve">
</t>
        </r>
      </text>
    </comment>
    <comment ref="L10" authorId="0">
      <text>
        <r>
          <rPr>
            <sz val="11"/>
            <color indexed="81"/>
            <rFont val="Tahoma"/>
            <family val="2"/>
          </rPr>
          <t>This is the value at Dmax, which is not necessarily maximum.</t>
        </r>
        <r>
          <rPr>
            <b/>
            <sz val="11"/>
            <color indexed="81"/>
            <rFont val="Tahoma"/>
            <family val="2"/>
          </rPr>
          <t xml:space="preserve">
  </t>
        </r>
        <r>
          <rPr>
            <sz val="11"/>
            <color indexed="81"/>
            <rFont val="Tahoma"/>
            <family val="2"/>
          </rPr>
          <t xml:space="preserve">
</t>
        </r>
      </text>
    </comment>
    <comment ref="Q10" authorId="1">
      <text>
        <r>
          <rPr>
            <b/>
            <sz val="11"/>
            <color indexed="81"/>
            <rFont val="Tahoma"/>
            <family val="2"/>
          </rPr>
          <t>Enter Target Crossover Frequency lower than Fcross_max</t>
        </r>
      </text>
    </comment>
    <comment ref="H11" authorId="0">
      <text>
        <r>
          <rPr>
            <b/>
            <sz val="11"/>
            <color indexed="81"/>
            <rFont val="Tahoma"/>
            <family val="2"/>
          </rPr>
          <t>This is the ratio of inductor peak-peak ripple current to average inductor current at Dmax and Iout_max.</t>
        </r>
        <r>
          <rPr>
            <sz val="11"/>
            <color indexed="81"/>
            <rFont val="Tahoma"/>
            <family val="2"/>
          </rPr>
          <t xml:space="preserve">
</t>
        </r>
      </text>
    </comment>
    <comment ref="L11" authorId="0">
      <text>
        <r>
          <rPr>
            <sz val="11"/>
            <color indexed="81"/>
            <rFont val="Tahoma"/>
            <family val="2"/>
          </rPr>
          <t>This is the value at Dmax and Iout_max, which is not necessarily maximum.</t>
        </r>
        <r>
          <rPr>
            <b/>
            <sz val="11"/>
            <color indexed="81"/>
            <rFont val="Tahoma"/>
            <family val="2"/>
          </rPr>
          <t xml:space="preserve">
</t>
        </r>
      </text>
    </comment>
    <comment ref="Q11" authorId="1">
      <text>
        <r>
          <rPr>
            <b/>
            <sz val="11"/>
            <color indexed="81"/>
            <rFont val="Tahoma"/>
            <family val="2"/>
          </rPr>
          <t>Enter selected Ccomp</t>
        </r>
      </text>
    </comment>
    <comment ref="A12" authorId="0">
      <text>
        <r>
          <rPr>
            <b/>
            <sz val="11"/>
            <color indexed="81"/>
            <rFont val="Tahoma"/>
            <family val="2"/>
          </rPr>
          <t>Enter an initial efficiency estimate in the range of 0.75 to 0.95.  A revised efficiency estimate will be subsequently calculated and can be used to replace this initial estimate.</t>
        </r>
      </text>
    </comment>
    <comment ref="H12" authorId="0">
      <text>
        <r>
          <rPr>
            <b/>
            <sz val="11"/>
            <color indexed="81"/>
            <rFont val="Tahoma"/>
            <family val="2"/>
          </rPr>
          <t xml:space="preserve">This is the peak inductor current.  The selected inductor must have a saturation current rating greater than this value.  In addition, the current limit should be set higher than this level and lower than the saturation current of the selected inductor Based on the equation Ipk=Iavg+1/2*Ipp. </t>
        </r>
        <r>
          <rPr>
            <sz val="11"/>
            <color indexed="81"/>
            <rFont val="Tahoma"/>
            <family val="2"/>
          </rPr>
          <t xml:space="preserve">
</t>
        </r>
      </text>
    </comment>
    <comment ref="Q12" authorId="1">
      <text>
        <r>
          <rPr>
            <b/>
            <sz val="11"/>
            <color indexed="81"/>
            <rFont val="Tahoma"/>
            <family val="2"/>
          </rPr>
          <t>Enter Selected Rcomp</t>
        </r>
      </text>
    </comment>
    <comment ref="A13" authorId="0">
      <text>
        <r>
          <rPr>
            <b/>
            <sz val="11"/>
            <color indexed="81"/>
            <rFont val="Tahoma"/>
            <family val="2"/>
          </rPr>
          <t>Enter the maximum on state resistance of the MOSFET at the maximum operating temperature.  (Note: typical temperature coefficient is 0.7% per degree C).  Values in the range of 0.01 to 0.2 ohm are typical for power MOSFETs.</t>
        </r>
        <r>
          <rPr>
            <sz val="11"/>
            <color indexed="81"/>
            <rFont val="Tahoma"/>
            <family val="2"/>
          </rPr>
          <t xml:space="preserve">
</t>
        </r>
      </text>
    </comment>
    <comment ref="H13" authorId="0">
      <text>
        <r>
          <rPr>
            <b/>
            <sz val="11"/>
            <color indexed="81"/>
            <rFont val="Tahoma"/>
            <family val="2"/>
          </rPr>
          <t xml:space="preserve">This is the inductor valley current.  Based on the equation Iv=Iavg-1/2*Ipp. </t>
        </r>
        <r>
          <rPr>
            <sz val="11"/>
            <color indexed="81"/>
            <rFont val="Tahoma"/>
            <family val="2"/>
          </rPr>
          <t xml:space="preserve">
</t>
        </r>
      </text>
    </comment>
    <comment ref="Q13" authorId="1">
      <text>
        <r>
          <rPr>
            <b/>
            <sz val="11"/>
            <color indexed="81"/>
            <rFont val="Tahoma"/>
            <family val="2"/>
          </rPr>
          <t>If Fzesr is lower than Fcross/10 add the second error amplifier pole</t>
        </r>
      </text>
    </comment>
    <comment ref="A14" authorId="0">
      <text>
        <r>
          <rPr>
            <b/>
            <sz val="11"/>
            <color indexed="81"/>
            <rFont val="Tahoma"/>
            <family val="2"/>
          </rPr>
          <t>Enter an estimate of the MOSFET drain rise/fall time.    Slower switching times increase MOSFET power dissipation and reduce overall efficiency, while faster switching times increase noise and EMI.  Ideally, switching time should be as slow as possible consistent with device thermal management.  Values in the range of 10 to 1000ns are typical depending on switching frequency.</t>
        </r>
        <r>
          <rPr>
            <sz val="11"/>
            <color indexed="81"/>
            <rFont val="Tahoma"/>
            <family val="2"/>
          </rPr>
          <t xml:space="preserve">
</t>
        </r>
      </text>
    </comment>
    <comment ref="H14" authorId="0">
      <text>
        <r>
          <rPr>
            <b/>
            <sz val="11"/>
            <color indexed="81"/>
            <rFont val="Tahoma"/>
            <family val="2"/>
          </rPr>
          <t>This is the inductor rms current.  The selected inductor must have an rms current rating greater than this value.  Based on the equation Irms=sqrt(Iin_avg^2 + IL_pp^2/12).</t>
        </r>
        <r>
          <rPr>
            <sz val="11"/>
            <color indexed="81"/>
            <rFont val="Tahoma"/>
            <family val="2"/>
          </rPr>
          <t xml:space="preserve">
</t>
        </r>
      </text>
    </comment>
    <comment ref="Q14" authorId="1">
      <text>
        <r>
          <rPr>
            <b/>
            <sz val="11"/>
            <color indexed="81"/>
            <rFont val="Tahoma"/>
            <family val="2"/>
          </rPr>
          <t>Enter slected C2comp</t>
        </r>
      </text>
    </comment>
    <comment ref="A15" authorId="0">
      <text>
        <r>
          <rPr>
            <b/>
            <sz val="11"/>
            <color indexed="81"/>
            <rFont val="Tahoma"/>
            <family val="2"/>
          </rPr>
          <t>Select an inductance value that is greater than the calculated critical inductance, Lc, to ensure continuous conduction is maintained above the specified minimum output current.  Higher values of inductance yield lower peak currents and ripple but increase cost and response time.  A tolerance of +/- 20% is assumed.</t>
        </r>
        <r>
          <rPr>
            <sz val="11"/>
            <color indexed="81"/>
            <rFont val="Tahoma"/>
            <family val="2"/>
          </rPr>
          <t xml:space="preserve">
</t>
        </r>
      </text>
    </comment>
    <comment ref="H15" authorId="0">
      <text>
        <r>
          <rPr>
            <b/>
            <sz val="11"/>
            <color indexed="81"/>
            <rFont val="Tahoma"/>
            <family val="2"/>
          </rPr>
          <t>This is the power loss in the inductor due to resistive (I^2*R) losses.  Other losses (i.e. core loss) must also be considered.   Based on the equation P=Irms^2*R.</t>
        </r>
        <r>
          <rPr>
            <sz val="11"/>
            <color indexed="81"/>
            <rFont val="Tahoma"/>
            <family val="2"/>
          </rPr>
          <t xml:space="preserve">
</t>
        </r>
      </text>
    </comment>
    <comment ref="A16" authorId="0">
      <text>
        <r>
          <rPr>
            <b/>
            <sz val="11"/>
            <color indexed="81"/>
            <rFont val="Tahoma"/>
            <family val="2"/>
          </rPr>
          <t>Enter the maximum inductor resistance at the maximum operating temperature.  (Note: typical temperature coefficient of copper is 0.4% per degree C).</t>
        </r>
        <r>
          <rPr>
            <sz val="11"/>
            <color indexed="81"/>
            <rFont val="Tahoma"/>
            <family val="2"/>
          </rPr>
          <t xml:space="preserve">
</t>
        </r>
      </text>
    </comment>
    <comment ref="A17" authorId="0">
      <text>
        <r>
          <rPr>
            <b/>
            <sz val="11"/>
            <color indexed="81"/>
            <rFont val="Tahoma"/>
            <family val="2"/>
          </rPr>
          <t>Enter the maximum allowable input voltage ripple.  This will impact input capacitance and ESR calculations.  Lower input ripple voltage will require larger input capacitors.  Values in the range of 0.1 to 1%  of Vin are typical.</t>
        </r>
      </text>
    </comment>
    <comment ref="H17" authorId="0">
      <text>
        <r>
          <rPr>
            <b/>
            <sz val="11"/>
            <color indexed="81"/>
            <rFont val="Tahoma"/>
            <family val="2"/>
          </rPr>
          <t>The diode peak current is equal to the inductor peak current.</t>
        </r>
        <r>
          <rPr>
            <sz val="11"/>
            <color indexed="81"/>
            <rFont val="Tahoma"/>
            <family val="2"/>
          </rPr>
          <t xml:space="preserve">
</t>
        </r>
      </text>
    </comment>
    <comment ref="Q17" authorId="1">
      <text>
        <r>
          <rPr>
            <b/>
            <sz val="11"/>
            <color indexed="81"/>
            <rFont val="Tahoma"/>
            <family val="2"/>
          </rPr>
          <t>Duty Cycle calculated with VIN_comp,  Iout_comp and with MAX value for the remaining factors</t>
        </r>
      </text>
    </comment>
    <comment ref="A18" authorId="0">
      <text>
        <r>
          <rPr>
            <b/>
            <sz val="11"/>
            <color indexed="81"/>
            <rFont val="Tahoma"/>
            <family val="2"/>
          </rPr>
          <t>Enter the maximum allowable output voltage ripple.  This will impact output capacitance and ESR calculations.  Lower output ripple voltage will require larger output capacitors.  Values in the range of 0.5 to 3% of Vout are typical.</t>
        </r>
        <r>
          <rPr>
            <sz val="11"/>
            <color indexed="81"/>
            <rFont val="Tahoma"/>
            <family val="2"/>
          </rPr>
          <t xml:space="preserve">
</t>
        </r>
      </text>
    </comment>
    <comment ref="H18" authorId="0">
      <text>
        <r>
          <rPr>
            <b/>
            <sz val="11"/>
            <color indexed="81"/>
            <rFont val="Tahoma"/>
            <family val="2"/>
          </rPr>
          <t>The average diode current equals the average output current.</t>
        </r>
        <r>
          <rPr>
            <sz val="11"/>
            <color indexed="81"/>
            <rFont val="Tahoma"/>
            <family val="2"/>
          </rPr>
          <t xml:space="preserve">
</t>
        </r>
      </text>
    </comment>
    <comment ref="A19" authorId="1">
      <text>
        <r>
          <rPr>
            <b/>
            <sz val="9"/>
            <color indexed="81"/>
            <rFont val="Tahoma"/>
            <family val="2"/>
          </rPr>
          <t>Select a Slope Resistor equal or higher than the Calculated Slope Resistor</t>
        </r>
      </text>
    </comment>
    <comment ref="H19" authorId="0">
      <text>
        <r>
          <rPr>
            <b/>
            <sz val="11"/>
            <color indexed="81"/>
            <rFont val="Tahoma"/>
            <family val="2"/>
          </rPr>
          <t>This is the calculated diode conduction loss.  Based on the equation Pd=Id_avg*Vd.</t>
        </r>
        <r>
          <rPr>
            <sz val="11"/>
            <color indexed="81"/>
            <rFont val="Tahoma"/>
            <family val="2"/>
          </rPr>
          <t xml:space="preserve">
</t>
        </r>
      </text>
    </comment>
    <comment ref="H20" authorId="0">
      <text>
        <r>
          <rPr>
            <b/>
            <sz val="11"/>
            <color indexed="81"/>
            <rFont val="Tahoma"/>
            <family val="2"/>
          </rPr>
          <t>This is the normal transistor off state voltage.  Abnormal input voltages, transients and derating must be considered when selecting a transistor.</t>
        </r>
        <r>
          <rPr>
            <sz val="11"/>
            <color indexed="81"/>
            <rFont val="Tahoma"/>
            <family val="2"/>
          </rPr>
          <t xml:space="preserve">
</t>
        </r>
      </text>
    </comment>
    <comment ref="H21" authorId="0">
      <text>
        <r>
          <rPr>
            <b/>
            <sz val="11"/>
            <color indexed="81"/>
            <rFont val="Tahoma"/>
            <family val="2"/>
          </rPr>
          <t>The transistor peak current is equal to the inductor/diode peak current.</t>
        </r>
        <r>
          <rPr>
            <sz val="11"/>
            <color indexed="81"/>
            <rFont val="Tahoma"/>
            <family val="2"/>
          </rPr>
          <t xml:space="preserve">
</t>
        </r>
      </text>
    </comment>
    <comment ref="A22" authorId="1">
      <text>
        <r>
          <rPr>
            <b/>
            <sz val="9"/>
            <color indexed="81"/>
            <rFont val="Tahoma"/>
            <family val="2"/>
          </rPr>
          <t>Select a Current Sense Resistor equal or lower than the Calculated Current Sense Resistor</t>
        </r>
      </text>
    </comment>
    <comment ref="H22" authorId="0">
      <text>
        <r>
          <rPr>
            <b/>
            <sz val="11"/>
            <color indexed="81"/>
            <rFont val="Tahoma"/>
            <family val="2"/>
          </rPr>
          <t xml:space="preserve">This is the transistor rms current.  Based on the equation Iq_rms=sqrt((IL_pk^2 + IL_v^2 +IL_pk*IL_v) *D/3).
</t>
        </r>
        <r>
          <rPr>
            <sz val="11"/>
            <color indexed="81"/>
            <rFont val="Tahoma"/>
            <family val="2"/>
          </rPr>
          <t xml:space="preserve">
</t>
        </r>
      </text>
    </comment>
    <comment ref="A23" authorId="1">
      <text>
        <r>
          <rPr>
            <b/>
            <sz val="9"/>
            <color indexed="81"/>
            <rFont val="Tahoma"/>
            <family val="2"/>
          </rPr>
          <t>Select a Slope Resistor equal or higher than the Calculated Slope Resistor</t>
        </r>
      </text>
    </comment>
    <comment ref="H23" authorId="0">
      <text>
        <r>
          <rPr>
            <b/>
            <sz val="11"/>
            <color indexed="81"/>
            <rFont val="Tahoma"/>
            <family val="2"/>
          </rPr>
          <t>This is the power loss in the transistor due to Rds_on.  Based on the equation Pq=Irms^2*Rds_on.</t>
        </r>
        <r>
          <rPr>
            <sz val="11"/>
            <color indexed="81"/>
            <rFont val="Tahoma"/>
            <family val="2"/>
          </rPr>
          <t xml:space="preserve">
</t>
        </r>
      </text>
    </comment>
    <comment ref="H24" authorId="0">
      <text>
        <r>
          <rPr>
            <b/>
            <sz val="11"/>
            <color indexed="81"/>
            <rFont val="Tahoma"/>
            <family val="2"/>
          </rPr>
          <t>This is the approximate transistor power loss due to switching transitions.</t>
        </r>
        <r>
          <rPr>
            <sz val="11"/>
            <color indexed="81"/>
            <rFont val="Tahoma"/>
            <family val="2"/>
          </rPr>
          <t xml:space="preserve">
</t>
        </r>
      </text>
    </comment>
    <comment ref="H25" authorId="0">
      <text>
        <r>
          <rPr>
            <b/>
            <sz val="11"/>
            <color indexed="81"/>
            <rFont val="Tahoma"/>
            <family val="2"/>
          </rPr>
          <t>This is an estimate of the total MOSFET power loss not including gate charging losses.</t>
        </r>
        <r>
          <rPr>
            <sz val="11"/>
            <color indexed="81"/>
            <rFont val="Tahoma"/>
            <family val="2"/>
          </rPr>
          <t xml:space="preserve">
</t>
        </r>
      </text>
    </comment>
    <comment ref="H26" authorId="0">
      <text>
        <r>
          <rPr>
            <b/>
            <sz val="11"/>
            <color indexed="81"/>
            <rFont val="Tahoma"/>
            <family val="2"/>
          </rPr>
          <t xml:space="preserve">This is the minimum input bulk capacitance required based on allocating 50% of the specified allowable input ripple voltage to capacitance.   Other requirements such as drop-out performance should be considered when selecting Cin.  Based on the equation Cin=(IL_pp*D)/(4*f*0.5*Vin_rip).
</t>
        </r>
        <r>
          <rPr>
            <sz val="11"/>
            <color indexed="81"/>
            <rFont val="Tahoma"/>
            <family val="2"/>
          </rPr>
          <t xml:space="preserve">
</t>
        </r>
      </text>
    </comment>
    <comment ref="H27" authorId="0">
      <text>
        <r>
          <rPr>
            <b/>
            <sz val="11"/>
            <color indexed="81"/>
            <rFont val="Tahoma"/>
            <family val="2"/>
          </rPr>
          <t xml:space="preserve">This is the maximum input capacitor ESR allowed based on allocating 50% of the specified allowable input ripple voltage to ESR. </t>
        </r>
        <r>
          <rPr>
            <sz val="11"/>
            <color indexed="81"/>
            <rFont val="Tahoma"/>
            <family val="2"/>
          </rPr>
          <t xml:space="preserve">
</t>
        </r>
      </text>
    </comment>
    <comment ref="H28" authorId="0">
      <text>
        <r>
          <rPr>
            <b/>
            <sz val="11"/>
            <color indexed="81"/>
            <rFont val="Tahoma"/>
            <family val="2"/>
          </rPr>
          <t xml:space="preserve">The selected input capacitor(s) must be capable of this level of ripple current. </t>
        </r>
        <r>
          <rPr>
            <sz val="11"/>
            <color indexed="81"/>
            <rFont val="Tahoma"/>
            <family val="2"/>
          </rPr>
          <t xml:space="preserve">
</t>
        </r>
      </text>
    </comment>
    <comment ref="H29" authorId="0">
      <text>
        <r>
          <rPr>
            <b/>
            <sz val="11"/>
            <color indexed="81"/>
            <rFont val="Tahoma"/>
            <family val="2"/>
          </rPr>
          <t xml:space="preserve">This is the minimum output capacitance required based on allocating 50% of the specified the specified allowable output voltage ripple to capacitance.   Other requirements such as hold-up time and transient load response must be considered when selecting Cout.  Based on the equation Cout=Io_mx*Dmx/(0.5*Vo_rip_mx*F). </t>
        </r>
        <r>
          <rPr>
            <sz val="11"/>
            <color indexed="81"/>
            <rFont val="Tahoma"/>
            <family val="2"/>
          </rPr>
          <t xml:space="preserve">
</t>
        </r>
      </text>
    </comment>
    <comment ref="H30" authorId="0">
      <text>
        <r>
          <rPr>
            <b/>
            <sz val="11"/>
            <color indexed="81"/>
            <rFont val="Tahoma"/>
            <family val="2"/>
          </rPr>
          <t xml:space="preserve">This is the maximum output capacitor ESR based on allocating 50% of the specified allowable output ripple voltage to ESR.  </t>
        </r>
        <r>
          <rPr>
            <sz val="11"/>
            <color indexed="81"/>
            <rFont val="Tahoma"/>
            <family val="2"/>
          </rPr>
          <t xml:space="preserve">
</t>
        </r>
      </text>
    </comment>
    <comment ref="H31" authorId="0">
      <text>
        <r>
          <rPr>
            <b/>
            <sz val="11"/>
            <color indexed="81"/>
            <rFont val="Tahoma"/>
            <family val="2"/>
          </rPr>
          <t xml:space="preserve">The selected output capacitor(s) must be capable of this level of ripple current. </t>
        </r>
        <r>
          <rPr>
            <sz val="11"/>
            <color indexed="81"/>
            <rFont val="Tahoma"/>
            <family val="2"/>
          </rPr>
          <t xml:space="preserve">
</t>
        </r>
      </text>
    </comment>
    <comment ref="H32" authorId="0">
      <text>
        <r>
          <rPr>
            <b/>
            <sz val="11"/>
            <color indexed="81"/>
            <rFont val="Tahoma"/>
            <family val="2"/>
          </rPr>
          <t>This is the calculated current sense resistance.  Select a non-inductive resistor with this value or lower.</t>
        </r>
        <r>
          <rPr>
            <sz val="11"/>
            <color indexed="81"/>
            <rFont val="Tahoma"/>
            <family val="2"/>
          </rPr>
          <t xml:space="preserve">
</t>
        </r>
      </text>
    </comment>
    <comment ref="H33" authorId="0">
      <text>
        <r>
          <rPr>
            <b/>
            <sz val="11"/>
            <color indexed="81"/>
            <rFont val="Tahoma"/>
            <family val="2"/>
          </rPr>
          <t>This is the power dissipated in the current sense resistance assuming the calculated value.  Based on the equation Iq_rms^2*Rcs_calc.</t>
        </r>
        <r>
          <rPr>
            <sz val="11"/>
            <color indexed="81"/>
            <rFont val="Tahoma"/>
            <family val="2"/>
          </rPr>
          <t xml:space="preserve">
</t>
        </r>
      </text>
    </comment>
    <comment ref="H34" authorId="0">
      <text>
        <r>
          <rPr>
            <b/>
            <sz val="11"/>
            <color indexed="81"/>
            <rFont val="Tahoma"/>
            <family val="2"/>
          </rPr>
          <t>This is the calculated slope compensation resistance.  If Dmax&lt;36% then short Rslope.</t>
        </r>
      </text>
    </comment>
    <comment ref="H35" authorId="0">
      <text>
        <r>
          <rPr>
            <b/>
            <sz val="11"/>
            <color indexed="81"/>
            <rFont val="Tahoma"/>
            <family val="2"/>
          </rPr>
          <t>This is the calculated oscillator resistor.  This is a first order approximation only.  Verify with the datasheet and testing.</t>
        </r>
      </text>
    </comment>
    <comment ref="H36" authorId="0">
      <text>
        <r>
          <rPr>
            <b/>
            <sz val="11"/>
            <color indexed="81"/>
            <rFont val="Tahoma"/>
            <family val="2"/>
          </rPr>
          <t>This is the calculated switching frequency based on the selected Rosc and Cosc.  This is a first order approximation only and should be verified with the datasheet and testing.</t>
        </r>
        <r>
          <rPr>
            <sz val="11"/>
            <color indexed="81"/>
            <rFont val="Tahoma"/>
            <family val="2"/>
          </rPr>
          <t xml:space="preserve">
</t>
        </r>
      </text>
    </comment>
    <comment ref="H37" authorId="0">
      <text>
        <r>
          <rPr>
            <b/>
            <sz val="11"/>
            <color indexed="81"/>
            <rFont val="Tahoma"/>
            <family val="2"/>
          </rPr>
          <t>This is the calculated worst case minimum efficiency.  Use this value to update the initial efficiency estimate if necessary.</t>
        </r>
        <r>
          <rPr>
            <sz val="11"/>
            <color indexed="81"/>
            <rFont val="Tahoma"/>
            <family val="2"/>
          </rPr>
          <t xml:space="preserve">
</t>
        </r>
      </text>
    </comment>
    <comment ref="H38" authorId="0">
      <text>
        <r>
          <rPr>
            <b/>
            <sz val="11"/>
            <color indexed="81"/>
            <rFont val="Tahoma"/>
            <family val="2"/>
          </rPr>
          <t>This is the calculated worst case minimum efficiency.  Use this value to update the initial efficiency estimate if necessary.</t>
        </r>
        <r>
          <rPr>
            <sz val="11"/>
            <color indexed="81"/>
            <rFont val="Tahoma"/>
            <family val="2"/>
          </rPr>
          <t xml:space="preserve">
</t>
        </r>
      </text>
    </comment>
  </commentList>
</comments>
</file>

<file path=xl/sharedStrings.xml><?xml version="1.0" encoding="utf-8"?>
<sst xmlns="http://schemas.openxmlformats.org/spreadsheetml/2006/main" count="367" uniqueCount="220">
  <si>
    <t>Calculated Efficiency</t>
  </si>
  <si>
    <t>kHz</t>
  </si>
  <si>
    <t>Switching Frequency</t>
  </si>
  <si>
    <t>Ohm</t>
  </si>
  <si>
    <t>Calculated Oscillator Resistor</t>
  </si>
  <si>
    <t>W</t>
  </si>
  <si>
    <t>Current Sense Resistor Power</t>
  </si>
  <si>
    <t>Calculated Current Sense Resistance</t>
  </si>
  <si>
    <t>A</t>
  </si>
  <si>
    <t>Output Capacitor RMS Ripple Current</t>
  </si>
  <si>
    <t>Calculated Maximum Output Capacitor ESR</t>
  </si>
  <si>
    <t>Calculated Minimum Output Capacitance</t>
  </si>
  <si>
    <t>Input Capacitor RMS Ripple Current</t>
  </si>
  <si>
    <t>Calculated Maximum Input Capacitor ESR (50% of ripple)</t>
  </si>
  <si>
    <t>Calculated Minimum Input Capacitance (50% of ripple)</t>
  </si>
  <si>
    <t>Transistor Total Losses (Cond + Sw)</t>
  </si>
  <si>
    <t>Transistor Switching Loss</t>
  </si>
  <si>
    <t>Transistor Conduction Loss</t>
  </si>
  <si>
    <t>Transistor RMS Current</t>
  </si>
  <si>
    <t>Transistor Peak Current</t>
  </si>
  <si>
    <t>V</t>
  </si>
  <si>
    <t>Transistor Off State Drain Voltage</t>
  </si>
  <si>
    <t>Diode Conduction Loss</t>
  </si>
  <si>
    <t>Diode Average Current</t>
  </si>
  <si>
    <t>13) Allowable Output Voltage P-P Ripple</t>
  </si>
  <si>
    <t>Diode Peak Current</t>
  </si>
  <si>
    <t>12) Allowable Input Voltage P-P Ripple</t>
  </si>
  <si>
    <t>Diode Reverse Voltage</t>
  </si>
  <si>
    <r>
      <t>R</t>
    </r>
    <r>
      <rPr>
        <vertAlign val="subscript"/>
        <sz val="10"/>
        <rFont val="Arial"/>
        <family val="2"/>
      </rPr>
      <t>L</t>
    </r>
  </si>
  <si>
    <t>11) Inductor Resistance</t>
  </si>
  <si>
    <r>
      <t>P</t>
    </r>
    <r>
      <rPr>
        <vertAlign val="subscript"/>
        <sz val="10"/>
        <rFont val="Arial"/>
        <family val="2"/>
      </rPr>
      <t>L</t>
    </r>
  </si>
  <si>
    <t>Inductor Conduction Loss</t>
  </si>
  <si>
    <t>L</t>
  </si>
  <si>
    <t>10) Selected Inductance</t>
  </si>
  <si>
    <t>Inductor RMS Current</t>
  </si>
  <si>
    <t>ns</t>
  </si>
  <si>
    <t>9) MOSFET Rise/Fall Switching Time</t>
  </si>
  <si>
    <t>Inductor Valley Current</t>
  </si>
  <si>
    <t>8) MOSFET Rds_on</t>
  </si>
  <si>
    <t>Inductor Peak Current</t>
  </si>
  <si>
    <t>E</t>
  </si>
  <si>
    <t>7) Initial Estimated Efficiency</t>
  </si>
  <si>
    <t>F</t>
  </si>
  <si>
    <t>6) Switching Frequency</t>
  </si>
  <si>
    <t>Inductor Peak-Peak Ripple Current</t>
  </si>
  <si>
    <t>5) Diode Forward Voltage</t>
  </si>
  <si>
    <t>Inductor/Input Average Current</t>
  </si>
  <si>
    <t>4) Output Current</t>
  </si>
  <si>
    <t>3) Output Voltage</t>
  </si>
  <si>
    <t>Critical Inductance</t>
  </si>
  <si>
    <t>2) Input Voltage</t>
  </si>
  <si>
    <t>D</t>
  </si>
  <si>
    <t>Duty Ratio</t>
  </si>
  <si>
    <t>IC</t>
  </si>
  <si>
    <t>UNITS</t>
  </si>
  <si>
    <t>MAX</t>
  </si>
  <si>
    <t>TYP</t>
  </si>
  <si>
    <t>MIN</t>
  </si>
  <si>
    <t>SYMBOL</t>
  </si>
  <si>
    <t>Output Calculations (Cells in Yellow)</t>
  </si>
  <si>
    <t>Input Parameters (Cells in Blue)</t>
  </si>
  <si>
    <t>1) IC version (MAX16990 or MAX16992)</t>
  </si>
  <si>
    <t>MAX16990</t>
  </si>
  <si>
    <t>MAX16992</t>
  </si>
  <si>
    <t>Fmin</t>
  </si>
  <si>
    <t>Fmax</t>
  </si>
  <si>
    <t>Current Limit</t>
  </si>
  <si>
    <t>Isns Threshold</t>
  </si>
  <si>
    <t>Min</t>
  </si>
  <si>
    <t>Typ</t>
  </si>
  <si>
    <t>Max</t>
  </si>
  <si>
    <t>Slope Compensation Resistor</t>
  </si>
  <si>
    <t>Critical Load Current</t>
  </si>
  <si>
    <t>Device Related Parameters</t>
  </si>
  <si>
    <t>gm</t>
  </si>
  <si>
    <t>Simens</t>
  </si>
  <si>
    <t>Rout</t>
  </si>
  <si>
    <t>CS_Gain</t>
  </si>
  <si>
    <t>V/V</t>
  </si>
  <si>
    <t>mA</t>
  </si>
  <si>
    <t>Q</t>
  </si>
  <si>
    <t>Hz</t>
  </si>
  <si>
    <t>Deg</t>
  </si>
  <si>
    <t>pF</t>
  </si>
  <si>
    <t>FZ,ESR</t>
  </si>
  <si>
    <t>FZ,RHP</t>
  </si>
  <si>
    <t>FP,LOAD</t>
  </si>
  <si>
    <t>FZ,EA</t>
  </si>
  <si>
    <t>FP,EA</t>
  </si>
  <si>
    <t>FP2,EA</t>
  </si>
  <si>
    <t>DC Loop Gain (dB)</t>
  </si>
  <si>
    <t>V/s</t>
  </si>
  <si>
    <t>S_down-slope</t>
  </si>
  <si>
    <t>Load</t>
  </si>
  <si>
    <t>Npoints</t>
  </si>
  <si>
    <t>Fsw/2</t>
  </si>
  <si>
    <t>B</t>
  </si>
  <si>
    <t>Loop</t>
  </si>
  <si>
    <t>ABS Min</t>
  </si>
  <si>
    <t>Fco</t>
  </si>
  <si>
    <t>PM</t>
  </si>
  <si>
    <t>N</t>
  </si>
  <si>
    <t>Flog</t>
  </si>
  <si>
    <t>Mag</t>
  </si>
  <si>
    <t>Phase</t>
  </si>
  <si>
    <t>Duty Ratio for compensation</t>
  </si>
  <si>
    <t>2) Iout for compensation calculation</t>
  </si>
  <si>
    <t>1) VIN for compensation calculation</t>
  </si>
  <si>
    <t>Calculated Crossover Frequency</t>
  </si>
  <si>
    <t>Calculated Phase Margin</t>
  </si>
  <si>
    <t xml:space="preserve">Calculated Ccomp </t>
  </si>
  <si>
    <t xml:space="preserve">Calculated Rcompv </t>
  </si>
  <si>
    <t>Error Amplifier Gain</t>
  </si>
  <si>
    <t>Feedback Network Gain</t>
  </si>
  <si>
    <t>Error Amplifier Zero Frequency</t>
  </si>
  <si>
    <t>Error Amplifier Pole Frequency</t>
  </si>
  <si>
    <t>Error Amplifier Second Pole Frequency</t>
  </si>
  <si>
    <t>G</t>
  </si>
  <si>
    <t xml:space="preserve">S_up-slope </t>
  </si>
  <si>
    <t>S_slope_comp</t>
  </si>
  <si>
    <t>Load Pole Frequency</t>
  </si>
  <si>
    <t>Right Hand Zero Frequency</t>
  </si>
  <si>
    <t>Output Capacitor ESR Zero Frequency</t>
  </si>
  <si>
    <t>Power Converter Gain</t>
  </si>
  <si>
    <t>14) Selected Referance voltage</t>
  </si>
  <si>
    <t>15) Selected Rbottom Resistor</t>
  </si>
  <si>
    <t>16) Selected Oscillator Resistor</t>
  </si>
  <si>
    <t>17) Selected Current Sense Resistor</t>
  </si>
  <si>
    <t>18) Selected Slope Resistor</t>
  </si>
  <si>
    <t>3) Output Capacitor</t>
  </si>
  <si>
    <t>4) Output Capacitor ESR</t>
  </si>
  <si>
    <t>5) Target Crossover Frequency</t>
  </si>
  <si>
    <t>8) Second Error Amplifier Pole</t>
  </si>
  <si>
    <t>Maximum Crossover Frequency</t>
  </si>
  <si>
    <t>E6 (20%)</t>
  </si>
  <si>
    <t>E12 (10%)</t>
  </si>
  <si>
    <t>E24 (5%)</t>
  </si>
  <si>
    <t>E48 (2%)</t>
  </si>
  <si>
    <t>E96 (1%)</t>
  </si>
  <si>
    <t>E192 (0.5%)</t>
  </si>
  <si>
    <t>Inductor Current Ripple Ratio (LIR)</t>
  </si>
  <si>
    <t>Islope</t>
  </si>
  <si>
    <t>YES</t>
  </si>
  <si>
    <t>pf</t>
  </si>
  <si>
    <r>
      <t>V</t>
    </r>
    <r>
      <rPr>
        <vertAlign val="subscript"/>
        <sz val="10"/>
        <rFont val="Arial"/>
        <family val="2"/>
      </rPr>
      <t>IN</t>
    </r>
  </si>
  <si>
    <r>
      <t>V</t>
    </r>
    <r>
      <rPr>
        <vertAlign val="subscript"/>
        <sz val="10"/>
        <rFont val="Arial"/>
        <family val="2"/>
      </rPr>
      <t>OUT</t>
    </r>
  </si>
  <si>
    <r>
      <t>I</t>
    </r>
    <r>
      <rPr>
        <vertAlign val="subscript"/>
        <sz val="10"/>
        <rFont val="Arial"/>
        <family val="2"/>
      </rPr>
      <t>OUT</t>
    </r>
  </si>
  <si>
    <r>
      <t>V</t>
    </r>
    <r>
      <rPr>
        <vertAlign val="subscript"/>
        <sz val="10"/>
        <rFont val="Arial"/>
        <family val="2"/>
      </rPr>
      <t>D</t>
    </r>
  </si>
  <si>
    <r>
      <t>R</t>
    </r>
    <r>
      <rPr>
        <vertAlign val="subscript"/>
        <sz val="10"/>
        <rFont val="Arial"/>
        <family val="2"/>
      </rPr>
      <t>DS_ON</t>
    </r>
  </si>
  <si>
    <r>
      <t>T</t>
    </r>
    <r>
      <rPr>
        <vertAlign val="subscript"/>
        <sz val="10"/>
        <rFont val="Arial"/>
        <family val="2"/>
      </rPr>
      <t>QSW</t>
    </r>
  </si>
  <si>
    <r>
      <t>V</t>
    </r>
    <r>
      <rPr>
        <vertAlign val="subscript"/>
        <sz val="10"/>
        <rFont val="Arial"/>
        <family val="2"/>
      </rPr>
      <t>IN_RIP</t>
    </r>
  </si>
  <si>
    <r>
      <t>V</t>
    </r>
    <r>
      <rPr>
        <vertAlign val="subscript"/>
        <sz val="10"/>
        <rFont val="Arial"/>
        <family val="2"/>
      </rPr>
      <t>OUT_RIP</t>
    </r>
  </si>
  <si>
    <r>
      <t>V</t>
    </r>
    <r>
      <rPr>
        <vertAlign val="subscript"/>
        <sz val="10"/>
        <rFont val="Arial"/>
        <family val="2"/>
      </rPr>
      <t>REF</t>
    </r>
  </si>
  <si>
    <r>
      <t>R</t>
    </r>
    <r>
      <rPr>
        <vertAlign val="subscript"/>
        <sz val="10"/>
        <rFont val="Arial"/>
        <family val="2"/>
      </rPr>
      <t>BOTTOM</t>
    </r>
  </si>
  <si>
    <r>
      <t>R</t>
    </r>
    <r>
      <rPr>
        <vertAlign val="subscript"/>
        <sz val="10"/>
        <rFont val="Arial"/>
        <family val="2"/>
      </rPr>
      <t>OSC</t>
    </r>
  </si>
  <si>
    <r>
      <t>R</t>
    </r>
    <r>
      <rPr>
        <vertAlign val="subscript"/>
        <sz val="10"/>
        <rFont val="Arial"/>
        <family val="2"/>
      </rPr>
      <t>SENSE</t>
    </r>
  </si>
  <si>
    <r>
      <t>R</t>
    </r>
    <r>
      <rPr>
        <vertAlign val="subscript"/>
        <sz val="10"/>
        <rFont val="Arial"/>
        <family val="2"/>
      </rPr>
      <t>SLOPE</t>
    </r>
  </si>
  <si>
    <t>µH</t>
  </si>
  <si>
    <t>µF</t>
  </si>
  <si>
    <r>
      <t>L</t>
    </r>
    <r>
      <rPr>
        <vertAlign val="subscript"/>
        <sz val="10"/>
        <rFont val="Arial"/>
        <family val="2"/>
      </rPr>
      <t>C</t>
    </r>
  </si>
  <si>
    <r>
      <t>I</t>
    </r>
    <r>
      <rPr>
        <vertAlign val="subscript"/>
        <sz val="10"/>
        <rFont val="Arial"/>
        <family val="2"/>
      </rPr>
      <t>C</t>
    </r>
  </si>
  <si>
    <r>
      <t>I</t>
    </r>
    <r>
      <rPr>
        <vertAlign val="subscript"/>
        <sz val="10"/>
        <rFont val="Arial"/>
        <family val="2"/>
      </rPr>
      <t>L_AVG</t>
    </r>
  </si>
  <si>
    <r>
      <t>I</t>
    </r>
    <r>
      <rPr>
        <vertAlign val="subscript"/>
        <sz val="10"/>
        <rFont val="Arial"/>
        <family val="2"/>
      </rPr>
      <t>L_PP</t>
    </r>
  </si>
  <si>
    <r>
      <t>K</t>
    </r>
    <r>
      <rPr>
        <vertAlign val="subscript"/>
        <sz val="10"/>
        <rFont val="Arial"/>
        <family val="2"/>
      </rPr>
      <t>R</t>
    </r>
  </si>
  <si>
    <r>
      <t>I</t>
    </r>
    <r>
      <rPr>
        <vertAlign val="subscript"/>
        <sz val="10"/>
        <rFont val="Arial"/>
        <family val="2"/>
      </rPr>
      <t>L_PK</t>
    </r>
  </si>
  <si>
    <r>
      <t>I</t>
    </r>
    <r>
      <rPr>
        <vertAlign val="subscript"/>
        <sz val="10"/>
        <rFont val="Arial"/>
        <family val="2"/>
      </rPr>
      <t>L_V</t>
    </r>
  </si>
  <si>
    <r>
      <t>I</t>
    </r>
    <r>
      <rPr>
        <vertAlign val="subscript"/>
        <sz val="10"/>
        <rFont val="Arial"/>
        <family val="2"/>
      </rPr>
      <t>L_RMS</t>
    </r>
  </si>
  <si>
    <r>
      <t>V</t>
    </r>
    <r>
      <rPr>
        <vertAlign val="subscript"/>
        <sz val="10"/>
        <rFont val="Arial"/>
        <family val="2"/>
      </rPr>
      <t>D_REV</t>
    </r>
  </si>
  <si>
    <r>
      <t>I</t>
    </r>
    <r>
      <rPr>
        <vertAlign val="subscript"/>
        <sz val="10"/>
        <rFont val="Arial"/>
        <family val="2"/>
      </rPr>
      <t>D_PK</t>
    </r>
  </si>
  <si>
    <r>
      <t>I</t>
    </r>
    <r>
      <rPr>
        <vertAlign val="subscript"/>
        <sz val="10"/>
        <rFont val="Arial"/>
        <family val="2"/>
      </rPr>
      <t>D_AVG</t>
    </r>
  </si>
  <si>
    <r>
      <t>P</t>
    </r>
    <r>
      <rPr>
        <vertAlign val="subscript"/>
        <sz val="10"/>
        <rFont val="Arial"/>
        <family val="2"/>
      </rPr>
      <t>D</t>
    </r>
  </si>
  <si>
    <r>
      <t>V</t>
    </r>
    <r>
      <rPr>
        <vertAlign val="subscript"/>
        <sz val="10"/>
        <rFont val="Arial"/>
        <family val="2"/>
      </rPr>
      <t>DS</t>
    </r>
  </si>
  <si>
    <r>
      <t>I</t>
    </r>
    <r>
      <rPr>
        <vertAlign val="subscript"/>
        <sz val="10"/>
        <rFont val="Arial"/>
        <family val="2"/>
      </rPr>
      <t>Q_PK</t>
    </r>
  </si>
  <si>
    <r>
      <t>I</t>
    </r>
    <r>
      <rPr>
        <vertAlign val="subscript"/>
        <sz val="10"/>
        <rFont val="Arial"/>
        <family val="2"/>
      </rPr>
      <t>Q_RMS</t>
    </r>
  </si>
  <si>
    <r>
      <t>P</t>
    </r>
    <r>
      <rPr>
        <vertAlign val="subscript"/>
        <sz val="10"/>
        <rFont val="Arial"/>
        <family val="2"/>
      </rPr>
      <t>Q_COND</t>
    </r>
  </si>
  <si>
    <r>
      <t>P</t>
    </r>
    <r>
      <rPr>
        <vertAlign val="subscript"/>
        <sz val="10"/>
        <rFont val="Arial"/>
        <family val="2"/>
      </rPr>
      <t>Q_SW</t>
    </r>
  </si>
  <si>
    <r>
      <t>P</t>
    </r>
    <r>
      <rPr>
        <vertAlign val="subscript"/>
        <sz val="10"/>
        <rFont val="Arial"/>
        <family val="2"/>
      </rPr>
      <t>Q</t>
    </r>
  </si>
  <si>
    <r>
      <t>C</t>
    </r>
    <r>
      <rPr>
        <vertAlign val="subscript"/>
        <sz val="10"/>
        <rFont val="Arial"/>
        <family val="2"/>
      </rPr>
      <t>IN_CALC</t>
    </r>
  </si>
  <si>
    <r>
      <t>C</t>
    </r>
    <r>
      <rPr>
        <vertAlign val="subscript"/>
        <sz val="10"/>
        <rFont val="Arial"/>
        <family val="2"/>
      </rPr>
      <t>IN_ESR_CALC</t>
    </r>
  </si>
  <si>
    <r>
      <t>I</t>
    </r>
    <r>
      <rPr>
        <vertAlign val="subscript"/>
        <sz val="10"/>
        <rFont val="Arial"/>
        <family val="2"/>
      </rPr>
      <t>CIN_RMS</t>
    </r>
  </si>
  <si>
    <r>
      <t>C</t>
    </r>
    <r>
      <rPr>
        <vertAlign val="subscript"/>
        <sz val="10"/>
        <rFont val="Arial"/>
        <family val="2"/>
      </rPr>
      <t>OUT_CAL</t>
    </r>
  </si>
  <si>
    <r>
      <t>ESR</t>
    </r>
    <r>
      <rPr>
        <vertAlign val="subscript"/>
        <sz val="10"/>
        <rFont val="Arial"/>
        <family val="2"/>
      </rPr>
      <t>COUT_CALC</t>
    </r>
  </si>
  <si>
    <r>
      <t>I</t>
    </r>
    <r>
      <rPr>
        <vertAlign val="subscript"/>
        <sz val="10"/>
        <rFont val="Arial"/>
        <family val="2"/>
      </rPr>
      <t>COUT_RMS</t>
    </r>
  </si>
  <si>
    <r>
      <t>R</t>
    </r>
    <r>
      <rPr>
        <vertAlign val="subscript"/>
        <sz val="10"/>
        <rFont val="Arial"/>
        <family val="2"/>
      </rPr>
      <t>CS_CALC</t>
    </r>
  </si>
  <si>
    <r>
      <t>P</t>
    </r>
    <r>
      <rPr>
        <vertAlign val="subscript"/>
        <sz val="10"/>
        <rFont val="Arial"/>
        <family val="2"/>
      </rPr>
      <t>RCS</t>
    </r>
  </si>
  <si>
    <r>
      <t>F</t>
    </r>
    <r>
      <rPr>
        <vertAlign val="subscript"/>
        <sz val="10"/>
        <rFont val="Arial"/>
        <family val="2"/>
      </rPr>
      <t>OSC</t>
    </r>
  </si>
  <si>
    <r>
      <t>E</t>
    </r>
    <r>
      <rPr>
        <vertAlign val="subscript"/>
        <sz val="10"/>
        <rFont val="Arial"/>
        <family val="2"/>
      </rPr>
      <t>CALC</t>
    </r>
  </si>
  <si>
    <r>
      <t>I</t>
    </r>
    <r>
      <rPr>
        <vertAlign val="subscript"/>
        <sz val="10"/>
        <rFont val="Arial"/>
        <family val="2"/>
      </rPr>
      <t>LIM</t>
    </r>
  </si>
  <si>
    <r>
      <t>Calculated R</t>
    </r>
    <r>
      <rPr>
        <vertAlign val="subscript"/>
        <sz val="10"/>
        <rFont val="Arial"/>
        <family val="2"/>
      </rPr>
      <t>TOP</t>
    </r>
    <r>
      <rPr>
        <sz val="10"/>
        <rFont val="Arial"/>
        <family val="2"/>
      </rPr>
      <t xml:space="preserve"> Resistor</t>
    </r>
  </si>
  <si>
    <r>
      <rPr>
        <sz val="10"/>
        <rFont val="Arial"/>
        <family val="2"/>
      </rPr>
      <t>R</t>
    </r>
    <r>
      <rPr>
        <vertAlign val="subscript"/>
        <sz val="10"/>
        <rFont val="Arial"/>
        <family val="2"/>
      </rPr>
      <t>TOP</t>
    </r>
  </si>
  <si>
    <r>
      <t>V</t>
    </r>
    <r>
      <rPr>
        <vertAlign val="subscript"/>
        <sz val="10"/>
        <rFont val="Arial"/>
        <family val="2"/>
      </rPr>
      <t>IN_COMP</t>
    </r>
  </si>
  <si>
    <r>
      <t>I</t>
    </r>
    <r>
      <rPr>
        <vertAlign val="subscript"/>
        <sz val="10"/>
        <rFont val="Arial"/>
        <family val="2"/>
      </rPr>
      <t>OUT_COMP</t>
    </r>
  </si>
  <si>
    <r>
      <t>C</t>
    </r>
    <r>
      <rPr>
        <vertAlign val="subscript"/>
        <sz val="10"/>
        <rFont val="Arial"/>
        <family val="2"/>
      </rPr>
      <t>OUT</t>
    </r>
  </si>
  <si>
    <r>
      <t>F</t>
    </r>
    <r>
      <rPr>
        <vertAlign val="subscript"/>
        <sz val="10"/>
        <rFont val="Arial"/>
        <family val="2"/>
      </rPr>
      <t>CROSS_TARGET</t>
    </r>
  </si>
  <si>
    <r>
      <rPr>
        <sz val="10"/>
        <rFont val="Arial"/>
        <family val="2"/>
      </rPr>
      <t>R</t>
    </r>
    <r>
      <rPr>
        <vertAlign val="subscript"/>
        <sz val="10"/>
        <rFont val="Arial"/>
        <family val="2"/>
      </rPr>
      <t>COMP</t>
    </r>
  </si>
  <si>
    <r>
      <rPr>
        <sz val="10"/>
        <rFont val="Arial"/>
        <family val="2"/>
      </rPr>
      <t>C</t>
    </r>
    <r>
      <rPr>
        <vertAlign val="subscript"/>
        <sz val="10"/>
        <rFont val="Arial"/>
        <family val="2"/>
      </rPr>
      <t>COMP</t>
    </r>
  </si>
  <si>
    <r>
      <t>6) Selected C</t>
    </r>
    <r>
      <rPr>
        <vertAlign val="subscript"/>
        <sz val="10"/>
        <rFont val="Arial"/>
        <family val="2"/>
      </rPr>
      <t>COMP</t>
    </r>
  </si>
  <si>
    <r>
      <t>7) Selected R</t>
    </r>
    <r>
      <rPr>
        <vertAlign val="subscript"/>
        <sz val="10"/>
        <rFont val="Arial"/>
        <family val="2"/>
      </rPr>
      <t>COMP</t>
    </r>
  </si>
  <si>
    <r>
      <t>D</t>
    </r>
    <r>
      <rPr>
        <vertAlign val="subscript"/>
        <sz val="10"/>
        <rFont val="Arial"/>
        <family val="2"/>
      </rPr>
      <t>COMP</t>
    </r>
  </si>
  <si>
    <r>
      <t>R</t>
    </r>
    <r>
      <rPr>
        <vertAlign val="subscript"/>
        <sz val="10"/>
        <rFont val="Arial"/>
        <family val="2"/>
      </rPr>
      <t>OUT</t>
    </r>
  </si>
  <si>
    <r>
      <t>F</t>
    </r>
    <r>
      <rPr>
        <vertAlign val="subscript"/>
        <sz val="10"/>
        <rFont val="Arial"/>
        <family val="2"/>
      </rPr>
      <t>CROSS_MAX</t>
    </r>
  </si>
  <si>
    <r>
      <t>F</t>
    </r>
    <r>
      <rPr>
        <vertAlign val="subscript"/>
        <sz val="10"/>
        <rFont val="Arial"/>
        <family val="2"/>
      </rPr>
      <t>CROSS</t>
    </r>
  </si>
  <si>
    <r>
      <t>C</t>
    </r>
    <r>
      <rPr>
        <vertAlign val="subscript"/>
        <sz val="10"/>
        <rFont val="Arial"/>
        <family val="2"/>
      </rPr>
      <t>COMP_CALC</t>
    </r>
  </si>
  <si>
    <r>
      <t>R</t>
    </r>
    <r>
      <rPr>
        <vertAlign val="subscript"/>
        <sz val="10"/>
        <rFont val="Arial"/>
        <family val="2"/>
      </rPr>
      <t>COMP_CALC</t>
    </r>
  </si>
  <si>
    <r>
      <t>A</t>
    </r>
    <r>
      <rPr>
        <vertAlign val="subscript"/>
        <sz val="10"/>
        <rFont val="Arial"/>
        <family val="2"/>
      </rPr>
      <t>CM</t>
    </r>
  </si>
  <si>
    <r>
      <t>FZ</t>
    </r>
    <r>
      <rPr>
        <vertAlign val="subscript"/>
        <sz val="10"/>
        <rFont val="Arial"/>
        <family val="2"/>
      </rPr>
      <t>ESR</t>
    </r>
  </si>
  <si>
    <r>
      <t>FZ</t>
    </r>
    <r>
      <rPr>
        <vertAlign val="subscript"/>
        <sz val="10"/>
        <rFont val="Arial"/>
        <family val="2"/>
      </rPr>
      <t>RHP</t>
    </r>
  </si>
  <si>
    <r>
      <t>FP</t>
    </r>
    <r>
      <rPr>
        <vertAlign val="subscript"/>
        <sz val="10"/>
        <rFont val="Arial"/>
        <family val="2"/>
      </rPr>
      <t>LOAD</t>
    </r>
  </si>
  <si>
    <r>
      <t>A</t>
    </r>
    <r>
      <rPr>
        <vertAlign val="subscript"/>
        <sz val="10"/>
        <rFont val="Arial"/>
        <family val="2"/>
      </rPr>
      <t>EA</t>
    </r>
  </si>
  <si>
    <r>
      <t>A</t>
    </r>
    <r>
      <rPr>
        <vertAlign val="subscript"/>
        <sz val="10"/>
        <rFont val="Arial"/>
        <family val="2"/>
      </rPr>
      <t>FB</t>
    </r>
  </si>
  <si>
    <r>
      <t>FZ</t>
    </r>
    <r>
      <rPr>
        <vertAlign val="subscript"/>
        <sz val="10"/>
        <rFont val="Arial"/>
        <family val="2"/>
      </rPr>
      <t>EA</t>
    </r>
  </si>
  <si>
    <r>
      <t>FP</t>
    </r>
    <r>
      <rPr>
        <vertAlign val="subscript"/>
        <sz val="10"/>
        <rFont val="Arial"/>
        <family val="2"/>
      </rPr>
      <t>EA</t>
    </r>
  </si>
  <si>
    <r>
      <t>FP2</t>
    </r>
    <r>
      <rPr>
        <vertAlign val="subscript"/>
        <sz val="10"/>
        <rFont val="Arial"/>
        <family val="2"/>
      </rPr>
      <t>EA</t>
    </r>
  </si>
  <si>
    <r>
      <t>S</t>
    </r>
    <r>
      <rPr>
        <vertAlign val="subscript"/>
        <sz val="10"/>
        <rFont val="Arial"/>
        <family val="2"/>
      </rPr>
      <t>U</t>
    </r>
  </si>
  <si>
    <r>
      <t>S</t>
    </r>
    <r>
      <rPr>
        <vertAlign val="subscript"/>
        <sz val="10"/>
        <rFont val="Arial"/>
        <family val="2"/>
      </rPr>
      <t>COMP</t>
    </r>
  </si>
  <si>
    <r>
      <t>S</t>
    </r>
    <r>
      <rPr>
        <vertAlign val="subscript"/>
        <sz val="10"/>
        <rFont val="Arial"/>
        <family val="2"/>
      </rPr>
      <t>D</t>
    </r>
  </si>
  <si>
    <r>
      <t>9) Selected C</t>
    </r>
    <r>
      <rPr>
        <vertAlign val="subscript"/>
        <sz val="10"/>
        <rFont val="Arial"/>
        <family val="2"/>
      </rPr>
      <t>COMP2</t>
    </r>
  </si>
  <si>
    <r>
      <rPr>
        <sz val="10"/>
        <rFont val="Arial"/>
        <family val="2"/>
      </rPr>
      <t>C</t>
    </r>
    <r>
      <rPr>
        <vertAlign val="subscript"/>
        <sz val="10"/>
        <rFont val="Arial"/>
        <family val="2"/>
      </rPr>
      <t>COMP2</t>
    </r>
  </si>
  <si>
    <r>
      <t>Calculated C</t>
    </r>
    <r>
      <rPr>
        <vertAlign val="subscript"/>
        <sz val="10"/>
        <rFont val="Arial"/>
        <family val="2"/>
      </rPr>
      <t>COMP2</t>
    </r>
  </si>
  <si>
    <r>
      <t>C</t>
    </r>
    <r>
      <rPr>
        <vertAlign val="subscript"/>
        <sz val="10"/>
        <rFont val="Arial"/>
        <family val="2"/>
      </rPr>
      <t>COMP2_CALC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</si>
</sst>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
    <numFmt numFmtId="167" formatCode="#,##0.0000"/>
  </numFmts>
  <fonts count="12" x14ac:knownFonts="1">
    <font>
      <sz val="11"/>
      <color theme="1"/>
      <name val="Calibri"/>
      <family val="2"/>
      <scheme val="minor"/>
    </font>
    <font>
      <sz val="10"/>
      <name val="Arial"/>
      <family val="2"/>
    </font>
    <font>
      <vertAlign val="subscript"/>
      <sz val="10"/>
      <name val="Arial"/>
      <family val="2"/>
    </font>
    <font>
      <b/>
      <sz val="10"/>
      <name val="Arial"/>
      <family val="2"/>
    </font>
    <font>
      <b/>
      <sz val="12"/>
      <name val="Arial"/>
      <family val="2"/>
    </font>
    <font>
      <b/>
      <sz val="14"/>
      <name val="Arial"/>
      <family val="2"/>
    </font>
    <font>
      <b/>
      <sz val="11"/>
      <color indexed="81"/>
      <name val="Tahoma"/>
      <family val="2"/>
    </font>
    <font>
      <sz val="11"/>
      <color indexed="81"/>
      <name val="Tahoma"/>
      <family val="2"/>
    </font>
    <font>
      <b/>
      <sz val="9"/>
      <color indexed="81"/>
      <name val="Tahoma"/>
      <family val="2"/>
    </font>
    <font>
      <b/>
      <sz val="11"/>
      <color theme="1"/>
      <name val="Calibri"/>
      <family val="2"/>
      <scheme val="minor"/>
    </font>
    <font>
      <sz val="11"/>
      <color theme="1"/>
      <name val="Times New Roman"/>
      <family val="1"/>
    </font>
    <font>
      <sz val="10"/>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CCFF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35">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 fillId="0" borderId="0"/>
  </cellStyleXfs>
  <cellXfs count="204">
    <xf numFmtId="0" fontId="0" fillId="0" borderId="0" xfId="0"/>
    <xf numFmtId="0" fontId="1" fillId="0" borderId="0" xfId="1" applyAlignment="1">
      <alignment horizontal="left"/>
    </xf>
    <xf numFmtId="0" fontId="1" fillId="2" borderId="1" xfId="1" applyFill="1" applyBorder="1" applyAlignment="1">
      <alignment horizontal="left"/>
    </xf>
    <xf numFmtId="0" fontId="1" fillId="0" borderId="2" xfId="1" applyBorder="1" applyAlignment="1">
      <alignment horizontal="left"/>
    </xf>
    <xf numFmtId="164" fontId="1" fillId="2" borderId="2" xfId="1" applyNumberFormat="1" applyFill="1" applyBorder="1" applyAlignment="1">
      <alignment horizontal="left"/>
    </xf>
    <xf numFmtId="0" fontId="1" fillId="2" borderId="2" xfId="1" applyFill="1" applyBorder="1" applyAlignment="1" applyProtection="1">
      <alignment horizontal="left"/>
    </xf>
    <xf numFmtId="0" fontId="1" fillId="2" borderId="3" xfId="1" applyFill="1" applyBorder="1" applyAlignment="1" applyProtection="1">
      <alignment horizontal="left"/>
    </xf>
    <xf numFmtId="0" fontId="1" fillId="2" borderId="4" xfId="1" applyFill="1" applyBorder="1" applyAlignment="1">
      <alignment horizontal="left"/>
    </xf>
    <xf numFmtId="1" fontId="1" fillId="0" borderId="5" xfId="1" applyNumberFormat="1" applyFill="1" applyBorder="1" applyAlignment="1">
      <alignment horizontal="left"/>
    </xf>
    <xf numFmtId="1" fontId="1" fillId="2" borderId="5" xfId="1" applyNumberFormat="1" applyFill="1" applyBorder="1" applyAlignment="1">
      <alignment horizontal="left"/>
    </xf>
    <xf numFmtId="0" fontId="1" fillId="0" borderId="5" xfId="1" applyBorder="1" applyAlignment="1">
      <alignment horizontal="left"/>
    </xf>
    <xf numFmtId="0" fontId="1" fillId="2" borderId="5" xfId="1" applyFill="1" applyBorder="1" applyAlignment="1" applyProtection="1">
      <alignment horizontal="left"/>
    </xf>
    <xf numFmtId="0" fontId="1" fillId="2" borderId="6" xfId="1" applyFill="1" applyBorder="1" applyAlignment="1" applyProtection="1">
      <alignment horizontal="left"/>
    </xf>
    <xf numFmtId="164" fontId="1" fillId="2" borderId="5" xfId="1" applyNumberFormat="1" applyFill="1" applyBorder="1" applyAlignment="1">
      <alignment horizontal="left"/>
    </xf>
    <xf numFmtId="0" fontId="1" fillId="2" borderId="7" xfId="1" applyFill="1" applyBorder="1" applyAlignment="1">
      <alignment horizontal="left"/>
    </xf>
    <xf numFmtId="1" fontId="1" fillId="0" borderId="8" xfId="1" applyNumberFormat="1" applyFill="1" applyBorder="1" applyAlignment="1">
      <alignment horizontal="left"/>
    </xf>
    <xf numFmtId="1" fontId="1" fillId="2" borderId="8" xfId="1" applyNumberFormat="1" applyFill="1" applyBorder="1" applyAlignment="1">
      <alignment horizontal="left"/>
    </xf>
    <xf numFmtId="0" fontId="1" fillId="0" borderId="8" xfId="1" applyBorder="1" applyAlignment="1">
      <alignment horizontal="left"/>
    </xf>
    <xf numFmtId="0" fontId="1" fillId="2" borderId="8" xfId="1" applyFill="1" applyBorder="1" applyAlignment="1" applyProtection="1">
      <alignment horizontal="left"/>
    </xf>
    <xf numFmtId="0" fontId="1" fillId="2" borderId="9" xfId="1" applyFill="1" applyBorder="1" applyAlignment="1" applyProtection="1">
      <alignment horizontal="left"/>
    </xf>
    <xf numFmtId="0" fontId="1" fillId="2" borderId="10" xfId="1" applyFill="1" applyBorder="1" applyAlignment="1">
      <alignment horizontal="left"/>
    </xf>
    <xf numFmtId="1" fontId="1" fillId="2" borderId="11" xfId="1" applyNumberFormat="1" applyFill="1" applyBorder="1" applyAlignment="1">
      <alignment horizontal="left"/>
    </xf>
    <xf numFmtId="0" fontId="1" fillId="0" borderId="11" xfId="1" applyBorder="1" applyAlignment="1">
      <alignment horizontal="left"/>
    </xf>
    <xf numFmtId="0" fontId="1" fillId="2" borderId="11" xfId="1" applyFill="1" applyBorder="1" applyAlignment="1" applyProtection="1">
      <alignment horizontal="left"/>
    </xf>
    <xf numFmtId="0" fontId="1" fillId="2" borderId="12" xfId="1" applyFill="1" applyBorder="1" applyAlignment="1" applyProtection="1">
      <alignment horizontal="left"/>
    </xf>
    <xf numFmtId="164" fontId="3" fillId="2" borderId="2" xfId="1" applyNumberFormat="1" applyFont="1" applyFill="1" applyBorder="1" applyAlignment="1">
      <alignment horizontal="left"/>
    </xf>
    <xf numFmtId="164" fontId="1" fillId="2" borderId="2" xfId="1" applyNumberFormat="1" applyFont="1" applyFill="1" applyBorder="1" applyAlignment="1">
      <alignment horizontal="left"/>
    </xf>
    <xf numFmtId="0" fontId="3" fillId="2" borderId="3" xfId="1" applyFont="1" applyFill="1" applyBorder="1" applyAlignment="1" applyProtection="1">
      <alignment horizontal="left"/>
    </xf>
    <xf numFmtId="165" fontId="1" fillId="2" borderId="8" xfId="1" applyNumberFormat="1" applyFill="1" applyBorder="1" applyAlignment="1">
      <alignment horizontal="left"/>
    </xf>
    <xf numFmtId="0" fontId="1" fillId="2" borderId="13" xfId="1" applyFill="1" applyBorder="1" applyAlignment="1">
      <alignment horizontal="left"/>
    </xf>
    <xf numFmtId="164" fontId="3" fillId="2" borderId="14" xfId="1" applyNumberFormat="1" applyFont="1" applyFill="1" applyBorder="1" applyAlignment="1">
      <alignment horizontal="left"/>
    </xf>
    <xf numFmtId="164" fontId="1" fillId="2" borderId="14" xfId="1" applyNumberFormat="1" applyFont="1" applyFill="1" applyBorder="1" applyAlignment="1">
      <alignment horizontal="left"/>
    </xf>
    <xf numFmtId="0" fontId="1" fillId="0" borderId="14" xfId="1" applyBorder="1" applyAlignment="1">
      <alignment horizontal="left"/>
    </xf>
    <xf numFmtId="0" fontId="1" fillId="2" borderId="14" xfId="1" applyFill="1" applyBorder="1" applyAlignment="1" applyProtection="1">
      <alignment horizontal="left"/>
    </xf>
    <xf numFmtId="0" fontId="3" fillId="2" borderId="15" xfId="1" applyFont="1" applyFill="1" applyBorder="1" applyAlignment="1" applyProtection="1">
      <alignment horizontal="left"/>
    </xf>
    <xf numFmtId="165" fontId="1" fillId="2" borderId="5" xfId="1" applyNumberFormat="1" applyFill="1" applyBorder="1" applyAlignment="1">
      <alignment horizontal="left"/>
    </xf>
    <xf numFmtId="166" fontId="1" fillId="0" borderId="8" xfId="1" applyNumberFormat="1" applyFill="1" applyBorder="1" applyAlignment="1">
      <alignment horizontal="left"/>
    </xf>
    <xf numFmtId="166" fontId="1" fillId="2" borderId="8" xfId="1" applyNumberFormat="1" applyFill="1" applyBorder="1" applyAlignment="1">
      <alignment horizontal="left"/>
    </xf>
    <xf numFmtId="0" fontId="1" fillId="0" borderId="0" xfId="1"/>
    <xf numFmtId="167" fontId="1" fillId="2" borderId="5" xfId="1" applyNumberFormat="1" applyFill="1" applyBorder="1" applyAlignment="1">
      <alignment horizontal="left"/>
    </xf>
    <xf numFmtId="0" fontId="3" fillId="2" borderId="8" xfId="1" applyFont="1" applyFill="1" applyBorder="1" applyAlignment="1">
      <alignment horizontal="left"/>
    </xf>
    <xf numFmtId="0" fontId="3" fillId="2" borderId="9" xfId="1" applyFont="1" applyFill="1" applyBorder="1" applyAlignment="1" applyProtection="1">
      <alignment horizontal="left"/>
    </xf>
    <xf numFmtId="0" fontId="1" fillId="3" borderId="1" xfId="1" applyFill="1" applyBorder="1" applyAlignment="1">
      <alignment horizontal="left"/>
    </xf>
    <xf numFmtId="0" fontId="1" fillId="3" borderId="3" xfId="1" applyFill="1" applyBorder="1" applyAlignment="1">
      <alignment horizontal="left"/>
    </xf>
    <xf numFmtId="0" fontId="1" fillId="3" borderId="4" xfId="1" applyFill="1" applyBorder="1" applyAlignment="1">
      <alignment horizontal="left"/>
    </xf>
    <xf numFmtId="1" fontId="1" fillId="3" borderId="5" xfId="1" applyNumberFormat="1" applyFill="1" applyBorder="1" applyAlignment="1" applyProtection="1">
      <alignment horizontal="left"/>
      <protection locked="0"/>
    </xf>
    <xf numFmtId="0" fontId="1" fillId="3" borderId="6" xfId="1" applyFill="1" applyBorder="1" applyAlignment="1">
      <alignment horizontal="left"/>
    </xf>
    <xf numFmtId="164" fontId="3" fillId="2" borderId="5" xfId="1" applyNumberFormat="1" applyFont="1" applyFill="1" applyBorder="1" applyAlignment="1">
      <alignment horizontal="left"/>
    </xf>
    <xf numFmtId="164" fontId="1" fillId="2" borderId="5" xfId="1" applyNumberFormat="1" applyFont="1" applyFill="1" applyBorder="1" applyAlignment="1">
      <alignment horizontal="left"/>
    </xf>
    <xf numFmtId="0" fontId="3" fillId="2" borderId="6" xfId="1" applyFont="1" applyFill="1" applyBorder="1" applyAlignment="1" applyProtection="1">
      <alignment horizontal="left"/>
    </xf>
    <xf numFmtId="164" fontId="1" fillId="3" borderId="5" xfId="1" applyNumberFormat="1" applyFill="1" applyBorder="1" applyAlignment="1" applyProtection="1">
      <alignment horizontal="left"/>
      <protection locked="0"/>
    </xf>
    <xf numFmtId="2" fontId="3" fillId="2" borderId="8" xfId="1" applyNumberFormat="1" applyFont="1" applyFill="1" applyBorder="1" applyAlignment="1">
      <alignment horizontal="left"/>
    </xf>
    <xf numFmtId="2" fontId="1" fillId="3" borderId="5" xfId="1" applyNumberFormat="1" applyFill="1" applyBorder="1" applyAlignment="1" applyProtection="1">
      <alignment horizontal="left"/>
      <protection locked="0"/>
    </xf>
    <xf numFmtId="0" fontId="1" fillId="3" borderId="5" xfId="1" applyFill="1" applyBorder="1" applyAlignment="1" applyProtection="1">
      <alignment horizontal="left"/>
      <protection locked="0"/>
    </xf>
    <xf numFmtId="164" fontId="1" fillId="2" borderId="8" xfId="1" applyNumberFormat="1" applyFill="1" applyBorder="1" applyAlignment="1">
      <alignment horizontal="left"/>
    </xf>
    <xf numFmtId="164" fontId="1" fillId="2" borderId="14" xfId="1" applyNumberFormat="1" applyFill="1" applyBorder="1" applyAlignment="1">
      <alignment horizontal="left"/>
    </xf>
    <xf numFmtId="0" fontId="1" fillId="2" borderId="15" xfId="1" applyFill="1" applyBorder="1" applyAlignment="1" applyProtection="1">
      <alignment horizontal="left"/>
    </xf>
    <xf numFmtId="2" fontId="1" fillId="2" borderId="5" xfId="1" applyNumberFormat="1" applyFill="1" applyBorder="1" applyAlignment="1">
      <alignment horizontal="left"/>
    </xf>
    <xf numFmtId="0" fontId="1" fillId="2" borderId="16" xfId="1" applyFill="1" applyBorder="1" applyAlignment="1">
      <alignment horizontal="left"/>
    </xf>
    <xf numFmtId="164" fontId="1" fillId="2" borderId="17" xfId="1" applyNumberFormat="1" applyFill="1" applyBorder="1" applyAlignment="1">
      <alignment horizontal="left"/>
    </xf>
    <xf numFmtId="0" fontId="1" fillId="2" borderId="17" xfId="1" applyFill="1" applyBorder="1" applyAlignment="1" applyProtection="1">
      <alignment horizontal="left"/>
    </xf>
    <xf numFmtId="0" fontId="1" fillId="2" borderId="18" xfId="1" applyFill="1" applyBorder="1" applyAlignment="1" applyProtection="1">
      <alignment horizontal="left"/>
    </xf>
    <xf numFmtId="0" fontId="1" fillId="3" borderId="16" xfId="1" applyFill="1" applyBorder="1" applyAlignment="1">
      <alignment horizontal="left"/>
    </xf>
    <xf numFmtId="0" fontId="3" fillId="3" borderId="17" xfId="1" applyFont="1" applyFill="1" applyBorder="1" applyAlignment="1" applyProtection="1">
      <alignment horizontal="left"/>
      <protection locked="0"/>
    </xf>
    <xf numFmtId="0" fontId="1" fillId="3" borderId="18" xfId="1" applyFill="1" applyBorder="1" applyAlignment="1">
      <alignment horizontal="left"/>
    </xf>
    <xf numFmtId="0" fontId="4" fillId="2" borderId="19" xfId="1" applyFont="1" applyFill="1" applyBorder="1" applyAlignment="1" applyProtection="1">
      <alignment horizontal="left"/>
    </xf>
    <xf numFmtId="0" fontId="4" fillId="2" borderId="20" xfId="1" applyFont="1" applyFill="1" applyBorder="1" applyAlignment="1" applyProtection="1">
      <alignment horizontal="left"/>
    </xf>
    <xf numFmtId="0" fontId="4" fillId="2" borderId="21" xfId="1" applyFont="1" applyFill="1" applyBorder="1" applyAlignment="1" applyProtection="1">
      <alignment horizontal="left"/>
    </xf>
    <xf numFmtId="0" fontId="4" fillId="3" borderId="19" xfId="1" applyFont="1" applyFill="1" applyBorder="1" applyAlignment="1">
      <alignment horizontal="left"/>
    </xf>
    <xf numFmtId="0" fontId="4" fillId="3" borderId="20" xfId="1" applyFont="1" applyFill="1" applyBorder="1" applyAlignment="1">
      <alignment horizontal="left"/>
    </xf>
    <xf numFmtId="0" fontId="4" fillId="3" borderId="21" xfId="1" applyFont="1" applyFill="1" applyBorder="1" applyAlignment="1">
      <alignment horizontal="left"/>
    </xf>
    <xf numFmtId="0" fontId="5" fillId="0" borderId="0" xfId="1" applyFont="1" applyAlignment="1">
      <alignment horizontal="left"/>
    </xf>
    <xf numFmtId="0" fontId="1" fillId="4" borderId="2" xfId="1" applyFill="1" applyBorder="1" applyAlignment="1">
      <alignment horizontal="left"/>
    </xf>
    <xf numFmtId="0" fontId="1" fillId="3" borderId="2" xfId="1" applyFill="1" applyBorder="1" applyAlignment="1" applyProtection="1">
      <alignment horizontal="left"/>
      <protection locked="0"/>
    </xf>
    <xf numFmtId="0" fontId="1" fillId="0" borderId="0" xfId="1" applyNumberFormat="1" applyAlignment="1">
      <alignment horizontal="left"/>
    </xf>
    <xf numFmtId="164" fontId="1" fillId="4" borderId="8" xfId="1" applyNumberFormat="1" applyFill="1" applyBorder="1" applyAlignment="1">
      <alignment horizontal="left"/>
    </xf>
    <xf numFmtId="0" fontId="1" fillId="3" borderId="5" xfId="1" applyFill="1" applyBorder="1" applyAlignment="1">
      <alignment horizontal="left"/>
    </xf>
    <xf numFmtId="0" fontId="4" fillId="3" borderId="24" xfId="1" applyFont="1" applyFill="1" applyBorder="1" applyAlignment="1">
      <alignment horizontal="left"/>
    </xf>
    <xf numFmtId="0" fontId="1" fillId="3" borderId="25" xfId="1" applyFill="1" applyBorder="1" applyAlignment="1">
      <alignment horizontal="left"/>
    </xf>
    <xf numFmtId="0" fontId="1" fillId="3" borderId="26" xfId="1" applyFill="1" applyBorder="1" applyAlignment="1">
      <alignment horizontal="left"/>
    </xf>
    <xf numFmtId="0" fontId="1" fillId="3" borderId="27" xfId="1" applyFill="1" applyBorder="1" applyAlignment="1">
      <alignment horizontal="left"/>
    </xf>
    <xf numFmtId="0" fontId="1" fillId="2" borderId="3" xfId="1" applyFont="1" applyFill="1" applyBorder="1" applyAlignment="1" applyProtection="1">
      <alignment horizontal="left"/>
    </xf>
    <xf numFmtId="0" fontId="2" fillId="2" borderId="2" xfId="1" applyFont="1" applyFill="1" applyBorder="1" applyAlignment="1" applyProtection="1">
      <alignment horizontal="left"/>
    </xf>
    <xf numFmtId="164" fontId="3" fillId="0" borderId="2" xfId="1" applyNumberFormat="1" applyFont="1" applyFill="1" applyBorder="1" applyAlignment="1">
      <alignment horizontal="left"/>
    </xf>
    <xf numFmtId="1" fontId="1" fillId="2" borderId="2" xfId="1" applyNumberFormat="1" applyFont="1" applyFill="1" applyBorder="1" applyAlignment="1">
      <alignment horizontal="left"/>
    </xf>
    <xf numFmtId="0" fontId="1" fillId="0" borderId="5" xfId="1" applyFill="1" applyBorder="1" applyAlignment="1" applyProtection="1">
      <alignment horizontal="left"/>
      <protection locked="0"/>
    </xf>
    <xf numFmtId="0" fontId="1" fillId="5" borderId="5" xfId="1" applyFill="1" applyBorder="1"/>
    <xf numFmtId="0" fontId="1" fillId="0" borderId="0" xfId="1" applyFill="1" applyAlignment="1">
      <alignment horizontal="left"/>
    </xf>
    <xf numFmtId="0" fontId="1" fillId="0" borderId="0" xfId="1" applyFill="1"/>
    <xf numFmtId="0" fontId="1" fillId="0" borderId="0" xfId="1" applyFill="1" applyBorder="1" applyAlignment="1">
      <alignment horizontal="left"/>
    </xf>
    <xf numFmtId="164" fontId="1" fillId="2" borderId="5" xfId="1" applyNumberFormat="1" applyFont="1" applyFill="1" applyBorder="1" applyAlignment="1">
      <alignment horizontal="center"/>
    </xf>
    <xf numFmtId="1" fontId="1" fillId="2" borderId="5" xfId="1" applyNumberFormat="1" applyFont="1" applyFill="1" applyBorder="1" applyAlignment="1">
      <alignment horizontal="center"/>
    </xf>
    <xf numFmtId="1" fontId="1" fillId="4" borderId="5" xfId="1" applyNumberFormat="1" applyFont="1" applyFill="1" applyBorder="1" applyAlignment="1">
      <alignment horizontal="center"/>
    </xf>
    <xf numFmtId="11" fontId="1" fillId="0" borderId="0" xfId="1" applyNumberFormat="1"/>
    <xf numFmtId="0" fontId="1" fillId="6" borderId="0" xfId="1" applyFill="1"/>
    <xf numFmtId="0" fontId="1" fillId="8" borderId="0" xfId="1" applyFill="1"/>
    <xf numFmtId="0" fontId="1" fillId="7" borderId="0" xfId="1" applyFill="1"/>
    <xf numFmtId="1" fontId="3" fillId="2" borderId="5" xfId="1" applyNumberFormat="1" applyFont="1" applyFill="1" applyBorder="1" applyAlignment="1">
      <alignment horizontal="center"/>
    </xf>
    <xf numFmtId="0" fontId="1" fillId="9" borderId="3" xfId="1" applyFill="1" applyBorder="1" applyAlignment="1">
      <alignment horizontal="left"/>
    </xf>
    <xf numFmtId="0" fontId="1" fillId="3" borderId="9" xfId="1" applyFill="1" applyBorder="1" applyAlignment="1">
      <alignment horizontal="left"/>
    </xf>
    <xf numFmtId="0" fontId="1" fillId="3" borderId="7" xfId="1" applyFill="1" applyBorder="1" applyAlignment="1">
      <alignment horizontal="left"/>
    </xf>
    <xf numFmtId="0" fontId="1" fillId="9" borderId="12" xfId="1" applyFont="1" applyFill="1" applyBorder="1" applyAlignment="1" applyProtection="1">
      <alignment horizontal="left"/>
    </xf>
    <xf numFmtId="0" fontId="1" fillId="9" borderId="10" xfId="1" applyFont="1" applyFill="1" applyBorder="1" applyAlignment="1">
      <alignment horizontal="left"/>
    </xf>
    <xf numFmtId="0" fontId="1" fillId="2" borderId="9" xfId="1" applyFont="1" applyFill="1" applyBorder="1" applyAlignment="1" applyProtection="1">
      <alignment horizontal="left"/>
    </xf>
    <xf numFmtId="1" fontId="1" fillId="2" borderId="8" xfId="1" applyNumberFormat="1" applyFont="1" applyFill="1" applyBorder="1" applyAlignment="1">
      <alignment horizontal="center"/>
    </xf>
    <xf numFmtId="0" fontId="1" fillId="2" borderId="7" xfId="1" applyFont="1" applyFill="1" applyBorder="1" applyAlignment="1">
      <alignment horizontal="left"/>
    </xf>
    <xf numFmtId="1" fontId="1" fillId="2" borderId="2" xfId="1" applyNumberFormat="1" applyFont="1" applyFill="1" applyBorder="1" applyAlignment="1">
      <alignment horizontal="center"/>
    </xf>
    <xf numFmtId="0" fontId="1" fillId="2" borderId="1" xfId="1" applyFont="1" applyFill="1" applyBorder="1" applyAlignment="1">
      <alignment horizontal="left"/>
    </xf>
    <xf numFmtId="0" fontId="1" fillId="4" borderId="6" xfId="1" applyFont="1" applyFill="1" applyBorder="1" applyAlignment="1" applyProtection="1">
      <alignment horizontal="left"/>
    </xf>
    <xf numFmtId="0" fontId="1" fillId="4" borderId="4" xfId="1" applyFont="1" applyFill="1" applyBorder="1" applyAlignment="1">
      <alignment horizontal="left"/>
    </xf>
    <xf numFmtId="0" fontId="1" fillId="2" borderId="6" xfId="1" applyFont="1" applyFill="1" applyBorder="1" applyAlignment="1" applyProtection="1">
      <alignment horizontal="left"/>
    </xf>
    <xf numFmtId="0" fontId="1" fillId="2" borderId="4" xfId="1" applyFont="1" applyFill="1" applyBorder="1" applyAlignment="1">
      <alignment horizontal="left"/>
    </xf>
    <xf numFmtId="0" fontId="1" fillId="4" borderId="6" xfId="1" applyFont="1" applyFill="1" applyBorder="1" applyAlignment="1">
      <alignment horizontal="left"/>
    </xf>
    <xf numFmtId="0" fontId="1" fillId="4" borderId="3" xfId="1" applyFont="1" applyFill="1" applyBorder="1" applyAlignment="1">
      <alignment horizontal="left"/>
    </xf>
    <xf numFmtId="1" fontId="1" fillId="4" borderId="2" xfId="1" applyNumberFormat="1" applyFont="1" applyFill="1" applyBorder="1" applyAlignment="1">
      <alignment horizontal="center"/>
    </xf>
    <xf numFmtId="0" fontId="1" fillId="4" borderId="1" xfId="1" applyFont="1" applyFill="1" applyBorder="1" applyAlignment="1">
      <alignment horizontal="left"/>
    </xf>
    <xf numFmtId="164" fontId="1" fillId="2" borderId="8" xfId="1" applyNumberFormat="1" applyFont="1" applyFill="1" applyBorder="1" applyAlignment="1">
      <alignment horizontal="center"/>
    </xf>
    <xf numFmtId="0" fontId="1" fillId="4" borderId="9" xfId="1" applyFont="1" applyFill="1" applyBorder="1" applyAlignment="1">
      <alignment horizontal="left"/>
    </xf>
    <xf numFmtId="1" fontId="1" fillId="4" borderId="8" xfId="1" applyNumberFormat="1" applyFont="1" applyFill="1" applyBorder="1" applyAlignment="1">
      <alignment horizontal="center"/>
    </xf>
    <xf numFmtId="0" fontId="1" fillId="4" borderId="7" xfId="1" applyFont="1" applyFill="1" applyBorder="1" applyAlignment="1">
      <alignment horizontal="left"/>
    </xf>
    <xf numFmtId="0" fontId="1" fillId="4" borderId="16" xfId="1" applyFill="1" applyBorder="1" applyAlignment="1">
      <alignment horizontal="left"/>
    </xf>
    <xf numFmtId="0" fontId="1" fillId="4" borderId="7" xfId="1" applyFill="1" applyBorder="1" applyAlignment="1">
      <alignment horizontal="left"/>
    </xf>
    <xf numFmtId="0" fontId="1" fillId="4" borderId="3" xfId="1" applyFill="1" applyBorder="1" applyAlignment="1">
      <alignment horizontal="left"/>
    </xf>
    <xf numFmtId="0" fontId="1" fillId="4" borderId="1" xfId="1" applyFill="1" applyBorder="1" applyAlignment="1">
      <alignment horizontal="left"/>
    </xf>
    <xf numFmtId="0" fontId="4" fillId="3" borderId="20" xfId="1" applyFont="1" applyFill="1" applyBorder="1" applyAlignment="1">
      <alignment horizontal="center" vertical="center"/>
    </xf>
    <xf numFmtId="0" fontId="4" fillId="3" borderId="19" xfId="1" applyFont="1" applyFill="1" applyBorder="1" applyAlignment="1">
      <alignment horizontal="center"/>
    </xf>
    <xf numFmtId="0" fontId="1" fillId="4" borderId="18" xfId="1" applyFill="1" applyBorder="1" applyAlignment="1">
      <alignment horizontal="left"/>
    </xf>
    <xf numFmtId="164" fontId="1" fillId="4" borderId="17" xfId="1" applyNumberFormat="1" applyFill="1" applyBorder="1" applyAlignment="1">
      <alignment horizontal="center"/>
    </xf>
    <xf numFmtId="0" fontId="4" fillId="4" borderId="20" xfId="1" applyFont="1" applyFill="1" applyBorder="1" applyAlignment="1">
      <alignment horizontal="center"/>
    </xf>
    <xf numFmtId="0" fontId="4" fillId="4" borderId="19" xfId="1" applyFont="1" applyFill="1" applyBorder="1" applyAlignment="1">
      <alignment horizontal="center"/>
    </xf>
    <xf numFmtId="0" fontId="4" fillId="2" borderId="22" xfId="1" applyFont="1" applyFill="1" applyBorder="1" applyAlignment="1" applyProtection="1">
      <alignment horizontal="left"/>
    </xf>
    <xf numFmtId="0" fontId="1" fillId="3" borderId="17" xfId="1" applyFill="1" applyBorder="1" applyAlignment="1">
      <alignment horizontal="left"/>
    </xf>
    <xf numFmtId="0" fontId="1" fillId="3" borderId="2" xfId="1" applyFill="1" applyBorder="1" applyAlignment="1">
      <alignment horizontal="left"/>
    </xf>
    <xf numFmtId="0" fontId="2" fillId="3" borderId="5" xfId="1" applyFont="1" applyFill="1" applyBorder="1" applyAlignment="1">
      <alignment horizontal="left"/>
    </xf>
    <xf numFmtId="0" fontId="2" fillId="3" borderId="2" xfId="1" applyFont="1" applyFill="1" applyBorder="1" applyAlignment="1">
      <alignment horizontal="left"/>
    </xf>
    <xf numFmtId="164" fontId="3" fillId="4" borderId="8" xfId="1" applyNumberFormat="1" applyFont="1" applyFill="1" applyBorder="1" applyAlignment="1">
      <alignment horizontal="center"/>
    </xf>
    <xf numFmtId="0" fontId="1" fillId="4" borderId="30" xfId="1" applyFont="1" applyFill="1" applyBorder="1" applyAlignment="1">
      <alignment horizontal="left"/>
    </xf>
    <xf numFmtId="0" fontId="1" fillId="4" borderId="31" xfId="1" applyFont="1" applyFill="1" applyBorder="1" applyAlignment="1">
      <alignment horizontal="left"/>
    </xf>
    <xf numFmtId="0" fontId="1" fillId="4" borderId="33" xfId="1" applyFont="1" applyFill="1" applyBorder="1" applyAlignment="1">
      <alignment horizontal="left"/>
    </xf>
    <xf numFmtId="166" fontId="1" fillId="4" borderId="2" xfId="1" applyNumberFormat="1" applyFill="1" applyBorder="1" applyAlignment="1">
      <alignment horizontal="center"/>
    </xf>
    <xf numFmtId="0" fontId="3" fillId="4" borderId="9" xfId="1" applyFont="1" applyFill="1" applyBorder="1" applyAlignment="1" applyProtection="1">
      <alignment horizontal="left"/>
    </xf>
    <xf numFmtId="0" fontId="0" fillId="0" borderId="0" xfId="0" applyFill="1"/>
    <xf numFmtId="0" fontId="0" fillId="0" borderId="34" xfId="0" applyFill="1" applyBorder="1"/>
    <xf numFmtId="0" fontId="0" fillId="0" borderId="0" xfId="0" applyBorder="1"/>
    <xf numFmtId="4" fontId="10" fillId="0" borderId="0" xfId="0" applyNumberFormat="1" applyFont="1" applyBorder="1" applyAlignment="1">
      <alignment wrapText="1"/>
    </xf>
    <xf numFmtId="0" fontId="9" fillId="7" borderId="30"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11" borderId="32" xfId="0" applyFont="1" applyFill="1" applyBorder="1" applyAlignment="1">
      <alignment horizontal="center" vertical="center" wrapText="1"/>
    </xf>
    <xf numFmtId="0" fontId="9" fillId="12" borderId="32"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0" fillId="0" borderId="0" xfId="0" applyAlignment="1">
      <alignment wrapText="1"/>
    </xf>
    <xf numFmtId="0" fontId="9" fillId="8" borderId="17" xfId="0" applyFont="1" applyFill="1" applyBorder="1" applyAlignment="1">
      <alignment horizontal="center" vertical="center"/>
    </xf>
    <xf numFmtId="0" fontId="9" fillId="0" borderId="0" xfId="0" applyFont="1" applyAlignment="1">
      <alignment horizontal="center" vertical="center"/>
    </xf>
    <xf numFmtId="0" fontId="9" fillId="8" borderId="5" xfId="0" applyFont="1" applyFill="1" applyBorder="1" applyAlignment="1">
      <alignment horizontal="center" vertical="center"/>
    </xf>
    <xf numFmtId="0" fontId="0" fillId="7" borderId="0" xfId="0" applyFill="1"/>
    <xf numFmtId="0" fontId="0" fillId="10" borderId="0" xfId="0" applyFill="1"/>
    <xf numFmtId="0" fontId="0" fillId="6" borderId="0" xfId="0" applyFill="1"/>
    <xf numFmtId="0" fontId="0" fillId="11" borderId="0" xfId="0" applyFill="1"/>
    <xf numFmtId="0" fontId="0" fillId="12" borderId="0" xfId="0" applyFill="1"/>
    <xf numFmtId="0" fontId="0" fillId="8" borderId="0" xfId="0" applyFill="1"/>
    <xf numFmtId="1" fontId="3" fillId="2" borderId="14" xfId="1" applyNumberFormat="1" applyFont="1" applyFill="1" applyBorder="1" applyAlignment="1">
      <alignment horizontal="center"/>
    </xf>
    <xf numFmtId="0" fontId="1" fillId="2" borderId="13" xfId="1" applyFont="1" applyFill="1" applyBorder="1" applyAlignment="1">
      <alignment horizontal="left"/>
    </xf>
    <xf numFmtId="0" fontId="1" fillId="2" borderId="18" xfId="1" applyFont="1" applyFill="1" applyBorder="1" applyAlignment="1" applyProtection="1">
      <alignment horizontal="left"/>
    </xf>
    <xf numFmtId="0" fontId="1" fillId="2" borderId="16" xfId="1" applyFont="1" applyFill="1" applyBorder="1" applyAlignment="1">
      <alignment horizontal="left"/>
    </xf>
    <xf numFmtId="1" fontId="1" fillId="4" borderId="2" xfId="1" applyNumberFormat="1" applyFill="1" applyBorder="1" applyAlignment="1">
      <alignment horizontal="center"/>
    </xf>
    <xf numFmtId="0" fontId="11" fillId="0" borderId="0" xfId="1" applyFont="1" applyAlignment="1">
      <alignment horizontal="left"/>
    </xf>
    <xf numFmtId="164" fontId="1" fillId="2" borderId="17" xfId="1" applyNumberFormat="1" applyFont="1" applyFill="1" applyBorder="1" applyAlignment="1">
      <alignment horizontal="center"/>
    </xf>
    <xf numFmtId="164" fontId="1" fillId="4" borderId="32" xfId="1" applyNumberFormat="1" applyFont="1" applyFill="1" applyBorder="1" applyAlignment="1">
      <alignment horizontal="center"/>
    </xf>
    <xf numFmtId="0" fontId="1" fillId="3" borderId="17" xfId="1" applyFill="1" applyBorder="1" applyAlignment="1" applyProtection="1">
      <alignment horizontal="center"/>
      <protection locked="0"/>
    </xf>
    <xf numFmtId="0" fontId="1" fillId="3" borderId="5" xfId="1" applyFill="1" applyBorder="1" applyAlignment="1" applyProtection="1">
      <alignment horizontal="center"/>
      <protection locked="0"/>
    </xf>
    <xf numFmtId="0" fontId="1" fillId="3" borderId="2" xfId="1" applyFill="1" applyBorder="1" applyAlignment="1" applyProtection="1">
      <alignment horizontal="center"/>
      <protection locked="0"/>
    </xf>
    <xf numFmtId="1" fontId="1" fillId="9" borderId="11" xfId="1" applyNumberFormat="1" applyFont="1" applyFill="1" applyBorder="1" applyAlignment="1" applyProtection="1">
      <alignment horizontal="center"/>
      <protection locked="0"/>
    </xf>
    <xf numFmtId="0" fontId="1" fillId="3" borderId="8" xfId="1" applyFill="1" applyBorder="1" applyAlignment="1" applyProtection="1">
      <alignment horizontal="center"/>
      <protection locked="0"/>
    </xf>
    <xf numFmtId="0" fontId="1" fillId="0" borderId="17" xfId="1" applyBorder="1" applyAlignment="1" applyProtection="1">
      <alignment horizontal="left"/>
      <protection locked="0"/>
    </xf>
    <xf numFmtId="0" fontId="1" fillId="0" borderId="5" xfId="1" applyBorder="1" applyAlignment="1" applyProtection="1">
      <alignment horizontal="left"/>
      <protection locked="0"/>
    </xf>
    <xf numFmtId="0" fontId="1" fillId="4" borderId="5" xfId="1" applyFill="1" applyBorder="1" applyAlignment="1">
      <alignment horizontal="left"/>
    </xf>
    <xf numFmtId="0" fontId="1" fillId="0" borderId="0" xfId="1" applyAlignment="1">
      <alignment horizontal="center"/>
    </xf>
    <xf numFmtId="0" fontId="1" fillId="0" borderId="0" xfId="1" applyFont="1" applyAlignment="1">
      <alignment horizontal="center"/>
    </xf>
    <xf numFmtId="0" fontId="1" fillId="8" borderId="0" xfId="1" applyFill="1" applyAlignment="1">
      <alignment horizontal="center"/>
    </xf>
    <xf numFmtId="0" fontId="1" fillId="7" borderId="0" xfId="1" applyFill="1" applyAlignment="1">
      <alignment horizontal="center"/>
    </xf>
    <xf numFmtId="0" fontId="1" fillId="6" borderId="0" xfId="1" applyFill="1" applyAlignment="1">
      <alignment horizontal="center"/>
    </xf>
    <xf numFmtId="0" fontId="3" fillId="5" borderId="28" xfId="1" applyFont="1" applyFill="1" applyBorder="1" applyAlignment="1">
      <alignment horizontal="center"/>
    </xf>
    <xf numFmtId="0" fontId="3" fillId="5" borderId="29" xfId="1" applyFont="1" applyFill="1" applyBorder="1" applyAlignment="1">
      <alignment horizontal="center"/>
    </xf>
    <xf numFmtId="0" fontId="3" fillId="5" borderId="23" xfId="1" applyFont="1" applyFill="1" applyBorder="1" applyAlignment="1">
      <alignment horizontal="center"/>
    </xf>
    <xf numFmtId="0" fontId="9" fillId="12" borderId="5" xfId="0" applyFont="1" applyFill="1" applyBorder="1" applyAlignment="1">
      <alignment horizontal="center" vertical="center"/>
    </xf>
    <xf numFmtId="0" fontId="9" fillId="11" borderId="5" xfId="0" applyFont="1" applyFill="1" applyBorder="1" applyAlignment="1">
      <alignment horizontal="center" vertical="center"/>
    </xf>
    <xf numFmtId="0" fontId="9" fillId="7" borderId="17" xfId="0" applyFont="1" applyFill="1" applyBorder="1" applyAlignment="1">
      <alignment horizontal="center" vertical="center"/>
    </xf>
    <xf numFmtId="0" fontId="9" fillId="7" borderId="5" xfId="0" applyFont="1" applyFill="1" applyBorder="1" applyAlignment="1">
      <alignment horizontal="center" vertical="center"/>
    </xf>
    <xf numFmtId="0" fontId="9" fillId="10" borderId="11" xfId="0" applyFont="1" applyFill="1" applyBorder="1" applyAlignment="1">
      <alignment horizontal="center" vertical="center"/>
    </xf>
    <xf numFmtId="0" fontId="9" fillId="10" borderId="17"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7" xfId="0" applyFont="1" applyFill="1" applyBorder="1" applyAlignment="1">
      <alignment horizontal="center" vertical="center"/>
    </xf>
    <xf numFmtId="0" fontId="9" fillId="11" borderId="17" xfId="0" applyFont="1" applyFill="1" applyBorder="1" applyAlignment="1">
      <alignment horizontal="center" vertical="center"/>
    </xf>
    <xf numFmtId="1" fontId="9" fillId="12" borderId="11" xfId="0" applyNumberFormat="1" applyFont="1" applyFill="1" applyBorder="1" applyAlignment="1">
      <alignment horizontal="center" vertical="center"/>
    </xf>
    <xf numFmtId="1" fontId="9" fillId="12" borderId="17" xfId="0" applyNumberFormat="1" applyFont="1" applyFill="1" applyBorder="1" applyAlignment="1">
      <alignment horizontal="center" vertical="center"/>
    </xf>
    <xf numFmtId="0" fontId="9" fillId="12" borderId="14" xfId="0" applyFont="1" applyFill="1" applyBorder="1" applyAlignment="1">
      <alignment horizontal="center" vertical="center" shrinkToFit="1"/>
    </xf>
    <xf numFmtId="0" fontId="9" fillId="12" borderId="17" xfId="0" applyFont="1" applyFill="1" applyBorder="1" applyAlignment="1">
      <alignment horizontal="center" vertical="center" shrinkToFit="1"/>
    </xf>
    <xf numFmtId="0" fontId="9" fillId="12" borderId="14" xfId="0" applyFont="1" applyFill="1" applyBorder="1" applyAlignment="1">
      <alignment horizontal="center" vertical="center"/>
    </xf>
    <xf numFmtId="0" fontId="9" fillId="12" borderId="17" xfId="0" applyFont="1" applyFill="1" applyBorder="1" applyAlignment="1">
      <alignment horizontal="center" vertical="center"/>
    </xf>
    <xf numFmtId="0" fontId="9" fillId="6" borderId="14" xfId="0" applyFont="1" applyFill="1" applyBorder="1" applyAlignment="1">
      <alignment horizontal="center" vertical="center"/>
    </xf>
    <xf numFmtId="0" fontId="9" fillId="10" borderId="5" xfId="0" applyFont="1" applyFill="1" applyBorder="1" applyAlignment="1">
      <alignment horizontal="center" vertical="center"/>
    </xf>
    <xf numFmtId="0" fontId="9" fillId="6" borderId="5" xfId="0" applyFont="1" applyFill="1" applyBorder="1" applyAlignment="1">
      <alignment horizontal="center" vertical="center"/>
    </xf>
    <xf numFmtId="0" fontId="9" fillId="10" borderId="14"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FFFF99"/>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Loop Gain</a:t>
            </a:r>
          </a:p>
        </c:rich>
      </c:tx>
      <c:layout>
        <c:manualLayout>
          <c:xMode val="edge"/>
          <c:yMode val="edge"/>
          <c:x val="0.37451042149143132"/>
          <c:y val="3.5398230088495596E-2"/>
        </c:manualLayout>
      </c:layout>
      <c:overlay val="0"/>
      <c:spPr>
        <a:noFill/>
        <a:ln w="25400">
          <a:noFill/>
        </a:ln>
      </c:spPr>
    </c:title>
    <c:autoTitleDeleted val="0"/>
    <c:plotArea>
      <c:layout>
        <c:manualLayout>
          <c:layoutTarget val="inner"/>
          <c:xMode val="edge"/>
          <c:yMode val="edge"/>
          <c:x val="0.12352964830278856"/>
          <c:y val="0.20354040935082968"/>
          <c:w val="0.70980528072395976"/>
          <c:h val="0.66371872614401073"/>
        </c:manualLayout>
      </c:layout>
      <c:scatterChart>
        <c:scatterStyle val="smoothMarker"/>
        <c:varyColors val="0"/>
        <c:ser>
          <c:idx val="0"/>
          <c:order val="0"/>
          <c:tx>
            <c:v>Loop Gain</c:v>
          </c:tx>
          <c:marker>
            <c:symbol val="none"/>
          </c:marker>
          <c:xVal>
            <c:numRef>
              <c:f>Graph_data!$B$7:$B$107</c:f>
              <c:numCache>
                <c:formatCode>General</c:formatCode>
                <c:ptCount val="101"/>
                <c:pt idx="0">
                  <c:v>10</c:v>
                </c:pt>
                <c:pt idx="1">
                  <c:v>11.481536214968829</c:v>
                </c:pt>
                <c:pt idx="2">
                  <c:v>13.182567385564072</c:v>
                </c:pt>
                <c:pt idx="3">
                  <c:v>15.135612484362081</c:v>
                </c:pt>
                <c:pt idx="4">
                  <c:v>17.378008287493756</c:v>
                </c:pt>
                <c:pt idx="5">
                  <c:v>19.952623149688797</c:v>
                </c:pt>
                <c:pt idx="6">
                  <c:v>22.908676527677731</c:v>
                </c:pt>
                <c:pt idx="7">
                  <c:v>26.302679918953821</c:v>
                </c:pt>
                <c:pt idx="8">
                  <c:v>30.199517204020164</c:v>
                </c:pt>
                <c:pt idx="9">
                  <c:v>34.673685045253173</c:v>
                </c:pt>
                <c:pt idx="10">
                  <c:v>39.810717055349727</c:v>
                </c:pt>
                <c:pt idx="11">
                  <c:v>45.708818961487495</c:v>
                </c:pt>
                <c:pt idx="12">
                  <c:v>52.480746024977265</c:v>
                </c:pt>
                <c:pt idx="13">
                  <c:v>60.255958607435794</c:v>
                </c:pt>
                <c:pt idx="14">
                  <c:v>69.183097091893671</c:v>
                </c:pt>
                <c:pt idx="15">
                  <c:v>79.43282347242814</c:v>
                </c:pt>
                <c:pt idx="16">
                  <c:v>91.201083935590987</c:v>
                </c:pt>
                <c:pt idx="17">
                  <c:v>104.71285480508999</c:v>
                </c:pt>
                <c:pt idx="18">
                  <c:v>120.22644346174133</c:v>
                </c:pt>
                <c:pt idx="19">
                  <c:v>138.03842646028852</c:v>
                </c:pt>
                <c:pt idx="20">
                  <c:v>158.48931924611136</c:v>
                </c:pt>
                <c:pt idx="21">
                  <c:v>181.97008586099841</c:v>
                </c:pt>
                <c:pt idx="22">
                  <c:v>208.92961308540393</c:v>
                </c:pt>
                <c:pt idx="23">
                  <c:v>239.88329190194906</c:v>
                </c:pt>
                <c:pt idx="24">
                  <c:v>275.42287033381666</c:v>
                </c:pt>
                <c:pt idx="25">
                  <c:v>316.22776601683802</c:v>
                </c:pt>
                <c:pt idx="26">
                  <c:v>363.07805477010157</c:v>
                </c:pt>
                <c:pt idx="27">
                  <c:v>416.86938347033549</c:v>
                </c:pt>
                <c:pt idx="28">
                  <c:v>478.63009232263857</c:v>
                </c:pt>
                <c:pt idx="29">
                  <c:v>549.54087385762466</c:v>
                </c:pt>
                <c:pt idx="30">
                  <c:v>630.95734448019311</c:v>
                </c:pt>
                <c:pt idx="31">
                  <c:v>724.43596007499013</c:v>
                </c:pt>
                <c:pt idx="32">
                  <c:v>831.76377110267129</c:v>
                </c:pt>
                <c:pt idx="33">
                  <c:v>954.99258602143652</c:v>
                </c:pt>
                <c:pt idx="34">
                  <c:v>1096.4781961431861</c:v>
                </c:pt>
                <c:pt idx="35">
                  <c:v>1258.9254117941678</c:v>
                </c:pt>
                <c:pt idx="36">
                  <c:v>1445.4397707459284</c:v>
                </c:pt>
                <c:pt idx="37">
                  <c:v>1659.5869074375607</c:v>
                </c:pt>
                <c:pt idx="38">
                  <c:v>1905.460717963248</c:v>
                </c:pt>
                <c:pt idx="39">
                  <c:v>2187.7616239495524</c:v>
                </c:pt>
                <c:pt idx="40">
                  <c:v>2511.8864315095807</c:v>
                </c:pt>
                <c:pt idx="41">
                  <c:v>2884.0315031266073</c:v>
                </c:pt>
                <c:pt idx="42">
                  <c:v>3311.3112148259138</c:v>
                </c:pt>
                <c:pt idx="43">
                  <c:v>3801.8939632056163</c:v>
                </c:pt>
                <c:pt idx="44">
                  <c:v>4365.1583224016586</c:v>
                </c:pt>
                <c:pt idx="45">
                  <c:v>5011.8723362727233</c:v>
                </c:pt>
                <c:pt idx="46">
                  <c:v>5754.3993733715706</c:v>
                </c:pt>
                <c:pt idx="47">
                  <c:v>6606.9344800759645</c:v>
                </c:pt>
                <c:pt idx="48">
                  <c:v>7585.7757502918375</c:v>
                </c:pt>
                <c:pt idx="49">
                  <c:v>8709.6358995608098</c:v>
                </c:pt>
                <c:pt idx="50">
                  <c:v>10000</c:v>
                </c:pt>
                <c:pt idx="51">
                  <c:v>11481.536214968839</c:v>
                </c:pt>
                <c:pt idx="52">
                  <c:v>13182.567385564089</c:v>
                </c:pt>
                <c:pt idx="53">
                  <c:v>15135.61248436208</c:v>
                </c:pt>
                <c:pt idx="54">
                  <c:v>17378.008287493758</c:v>
                </c:pt>
                <c:pt idx="55">
                  <c:v>19952.623149688803</c:v>
                </c:pt>
                <c:pt idx="56">
                  <c:v>22908.676527677748</c:v>
                </c:pt>
                <c:pt idx="57">
                  <c:v>26302.679918953821</c:v>
                </c:pt>
                <c:pt idx="58">
                  <c:v>30199.517204020176</c:v>
                </c:pt>
                <c:pt idx="59">
                  <c:v>34673.685045253224</c:v>
                </c:pt>
                <c:pt idx="60">
                  <c:v>39810.717055349698</c:v>
                </c:pt>
                <c:pt idx="61">
                  <c:v>45708.81896148753</c:v>
                </c:pt>
                <c:pt idx="62">
                  <c:v>52480.746024977263</c:v>
                </c:pt>
                <c:pt idx="63">
                  <c:v>60255.958607435852</c:v>
                </c:pt>
                <c:pt idx="64">
                  <c:v>69183.097091893695</c:v>
                </c:pt>
                <c:pt idx="65">
                  <c:v>79432.82347242815</c:v>
                </c:pt>
                <c:pt idx="66">
                  <c:v>91201.083935591087</c:v>
                </c:pt>
                <c:pt idx="67">
                  <c:v>104712.85480509003</c:v>
                </c:pt>
                <c:pt idx="68">
                  <c:v>120226.44346174151</c:v>
                </c:pt>
                <c:pt idx="69">
                  <c:v>138038.42646028841</c:v>
                </c:pt>
                <c:pt idx="70">
                  <c:v>158489.31924611147</c:v>
                </c:pt>
                <c:pt idx="71">
                  <c:v>181970.08586099837</c:v>
                </c:pt>
                <c:pt idx="72">
                  <c:v>208929.61308540424</c:v>
                </c:pt>
                <c:pt idx="73">
                  <c:v>239883.29190194924</c:v>
                </c:pt>
                <c:pt idx="74">
                  <c:v>275422.87033381674</c:v>
                </c:pt>
                <c:pt idx="75">
                  <c:v>316227.76601683837</c:v>
                </c:pt>
                <c:pt idx="76">
                  <c:v>363078.05477010168</c:v>
                </c:pt>
                <c:pt idx="77">
                  <c:v>416869.38347033627</c:v>
                </c:pt>
                <c:pt idx="78">
                  <c:v>478630.09232263826</c:v>
                </c:pt>
                <c:pt idx="79">
                  <c:v>549540.87385762506</c:v>
                </c:pt>
                <c:pt idx="80">
                  <c:v>630957.34448019345</c:v>
                </c:pt>
                <c:pt idx="81">
                  <c:v>724435.96007498982</c:v>
                </c:pt>
                <c:pt idx="82">
                  <c:v>831763.77110267174</c:v>
                </c:pt>
                <c:pt idx="83">
                  <c:v>954992.58602143626</c:v>
                </c:pt>
                <c:pt idx="84">
                  <c:v>1096478.1961431869</c:v>
                </c:pt>
                <c:pt idx="85">
                  <c:v>1258925.4117941684</c:v>
                </c:pt>
                <c:pt idx="86">
                  <c:v>1445439.7707459307</c:v>
                </c:pt>
                <c:pt idx="87">
                  <c:v>1659586.9074375604</c:v>
                </c:pt>
                <c:pt idx="88">
                  <c:v>1905460.7179632459</c:v>
                </c:pt>
                <c:pt idx="89">
                  <c:v>2187761.6239495538</c:v>
                </c:pt>
                <c:pt idx="90">
                  <c:v>2511886.43150958</c:v>
                </c:pt>
                <c:pt idx="91">
                  <c:v>2884031.5031266091</c:v>
                </c:pt>
                <c:pt idx="92">
                  <c:v>3311311.2148259124</c:v>
                </c:pt>
                <c:pt idx="93">
                  <c:v>3801893.9632056188</c:v>
                </c:pt>
                <c:pt idx="94">
                  <c:v>4365158.3224016652</c:v>
                </c:pt>
                <c:pt idx="95">
                  <c:v>5011872.3362727351</c:v>
                </c:pt>
                <c:pt idx="96">
                  <c:v>5754399.3733715694</c:v>
                </c:pt>
                <c:pt idx="97">
                  <c:v>6606934.4800759563</c:v>
                </c:pt>
                <c:pt idx="98">
                  <c:v>7585775.750291842</c:v>
                </c:pt>
                <c:pt idx="99">
                  <c:v>8709635.8995608073</c:v>
                </c:pt>
                <c:pt idx="100">
                  <c:v>10000000</c:v>
                </c:pt>
              </c:numCache>
            </c:numRef>
          </c:xVal>
          <c:yVal>
            <c:numRef>
              <c:f>Graph_data!$U$7:$U$107</c:f>
              <c:numCache>
                <c:formatCode>General</c:formatCode>
                <c:ptCount val="101"/>
                <c:pt idx="0">
                  <c:v>86.596064681487377</c:v>
                </c:pt>
                <c:pt idx="1">
                  <c:v>85.738747681261898</c:v>
                </c:pt>
                <c:pt idx="2">
                  <c:v>84.817998948633985</c:v>
                </c:pt>
                <c:pt idx="3">
                  <c:v>83.842465673579682</c:v>
                </c:pt>
                <c:pt idx="4">
                  <c:v>82.82079092120351</c:v>
                </c:pt>
                <c:pt idx="5">
                  <c:v>81.761068003213111</c:v>
                </c:pt>
                <c:pt idx="6">
                  <c:v>80.670511071051777</c:v>
                </c:pt>
                <c:pt idx="7">
                  <c:v>79.555311365134926</c:v>
                </c:pt>
                <c:pt idx="8">
                  <c:v>78.42062778530395</c:v>
                </c:pt>
                <c:pt idx="9">
                  <c:v>77.270660221983292</c:v>
                </c:pt>
                <c:pt idx="10">
                  <c:v>76.10876421355735</c:v>
                </c:pt>
                <c:pt idx="11">
                  <c:v>74.937578245750217</c:v>
                </c:pt>
                <c:pt idx="12">
                  <c:v>73.75914623723088</c:v>
                </c:pt>
                <c:pt idx="13">
                  <c:v>72.575026031988699</c:v>
                </c:pt>
                <c:pt idx="14">
                  <c:v>71.386380096260467</c:v>
                </c:pt>
                <c:pt idx="15">
                  <c:v>70.194047720868184</c:v>
                </c:pt>
                <c:pt idx="16">
                  <c:v>68.998599559841409</c:v>
                </c:pt>
                <c:pt idx="17">
                  <c:v>67.800375869587882</c:v>
                </c:pt>
                <c:pt idx="18">
                  <c:v>66.599509758774474</c:v>
                </c:pt>
                <c:pt idx="19">
                  <c:v>65.395936382940079</c:v>
                </c:pt>
                <c:pt idx="20">
                  <c:v>64.189388483738497</c:v>
                </c:pt>
                <c:pt idx="21">
                  <c:v>62.979378085052971</c:v>
                </c:pt>
                <c:pt idx="22">
                  <c:v>61.765163598852581</c:v>
                </c:pt>
                <c:pt idx="23">
                  <c:v>60.545701156024414</c:v>
                </c:pt>
                <c:pt idx="24">
                  <c:v>59.319578802327534</c:v>
                </c:pt>
                <c:pt idx="25">
                  <c:v>58.084932515531918</c:v>
                </c:pt>
                <c:pt idx="26">
                  <c:v>56.839344166151648</c:v>
                </c:pt>
                <c:pt idx="27">
                  <c:v>55.579724084509451</c:v>
                </c:pt>
                <c:pt idx="28">
                  <c:v>54.302185485230282</c:v>
                </c:pt>
                <c:pt idx="29">
                  <c:v>53.001925324514431</c:v>
                </c:pt>
                <c:pt idx="30">
                  <c:v>51.673136542948356</c:v>
                </c:pt>
                <c:pt idx="31">
                  <c:v>50.308989252432127</c:v>
                </c:pt>
                <c:pt idx="32">
                  <c:v>48.901730126808772</c:v>
                </c:pt>
                <c:pt idx="33">
                  <c:v>47.442953497494244</c:v>
                </c:pt>
                <c:pt idx="34">
                  <c:v>45.924084711112485</c:v>
                </c:pt>
                <c:pt idx="35">
                  <c:v>44.337076949647454</c:v>
                </c:pt>
                <c:pt idx="36">
                  <c:v>42.675256427445987</c:v>
                </c:pt>
                <c:pt idx="37">
                  <c:v>40.934175224593233</c:v>
                </c:pt>
                <c:pt idx="38">
                  <c:v>39.112282422076646</c:v>
                </c:pt>
                <c:pt idx="39">
                  <c:v>37.211240672373478</c:v>
                </c:pt>
                <c:pt idx="40">
                  <c:v>35.235806624133374</c:v>
                </c:pt>
                <c:pt idx="41">
                  <c:v>33.193324363727797</c:v>
                </c:pt>
                <c:pt idx="42">
                  <c:v>31.092989115516147</c:v>
                </c:pt>
                <c:pt idx="43">
                  <c:v>28.945077128835528</c:v>
                </c:pt>
                <c:pt idx="44">
                  <c:v>26.760303812908589</c:v>
                </c:pt>
                <c:pt idx="45">
                  <c:v>24.549398277387393</c:v>
                </c:pt>
                <c:pt idx="46">
                  <c:v>22.322907450078027</c:v>
                </c:pt>
                <c:pt idx="47">
                  <c:v>20.091189805990254</c:v>
                </c:pt>
                <c:pt idx="48">
                  <c:v>17.864530709990515</c:v>
                </c:pt>
                <c:pt idx="49">
                  <c:v>15.653300605092918</c:v>
                </c:pt>
                <c:pt idx="50">
                  <c:v>13.468074891059572</c:v>
                </c:pt>
                <c:pt idx="51">
                  <c:v>11.319636638476492</c:v>
                </c:pt>
                <c:pt idx="52">
                  <c:v>9.2187937141574334</c:v>
                </c:pt>
                <c:pt idx="53">
                  <c:v>7.1759692321653077</c:v>
                </c:pt>
                <c:pt idx="54">
                  <c:v>5.2005765624908431</c:v>
                </c:pt>
                <c:pt idx="55">
                  <c:v>3.3002648205190517</c:v>
                </c:pt>
                <c:pt idx="56">
                  <c:v>1.4801957312496383</c:v>
                </c:pt>
                <c:pt idx="57">
                  <c:v>-0.25745058818093636</c:v>
                </c:pt>
                <c:pt idx="58">
                  <c:v>-1.9135783613348663</c:v>
                </c:pt>
                <c:pt idx="59">
                  <c:v>-3.4918299974521418</c:v>
                </c:pt>
                <c:pt idx="60">
                  <c:v>-4.9978636453021092</c:v>
                </c:pt>
                <c:pt idx="61">
                  <c:v>-6.4384196570920604</c:v>
                </c:pt>
                <c:pt idx="62">
                  <c:v>-7.8203597666660665</c:v>
                </c:pt>
                <c:pt idx="63">
                  <c:v>-9.149816375072314</c:v>
                </c:pt>
                <c:pt idx="64">
                  <c:v>-10.431516984537154</c:v>
                </c:pt>
                <c:pt idx="65">
                  <c:v>-11.668289907320041</c:v>
                </c:pt>
                <c:pt idx="66">
                  <c:v>-12.860732999573383</c:v>
                </c:pt>
                <c:pt idx="67">
                  <c:v>-14.00703846037387</c:v>
                </c:pt>
                <c:pt idx="68">
                  <c:v>-15.103000568352854</c:v>
                </c:pt>
                <c:pt idx="69">
                  <c:v>-16.142267064834495</c:v>
                </c:pt>
                <c:pt idx="70">
                  <c:v>-17.116901627748884</c:v>
                </c:pt>
                <c:pt idx="71">
                  <c:v>-18.018283533382945</c:v>
                </c:pt>
                <c:pt idx="72">
                  <c:v>-18.838282919235954</c:v>
                </c:pt>
                <c:pt idx="73">
                  <c:v>-19.570551185199385</c:v>
                </c:pt>
                <c:pt idx="74">
                  <c:v>-20.211714650287949</c:v>
                </c:pt>
                <c:pt idx="75">
                  <c:v>-20.762307820356355</c:v>
                </c:pt>
                <c:pt idx="76">
                  <c:v>-21.227445832658045</c:v>
                </c:pt>
                <c:pt idx="77">
                  <c:v>-21.617482905294018</c:v>
                </c:pt>
                <c:pt idx="78">
                  <c:v>-21.94917162600203</c:v>
                </c:pt>
                <c:pt idx="79">
                  <c:v>-22.248033807796304</c:v>
                </c:pt>
                <c:pt idx="80">
                  <c:v>-22.552568116221011</c:v>
                </c:pt>
                <c:pt idx="81">
                  <c:v>-22.919974556249763</c:v>
                </c:pt>
                <c:pt idx="82">
                  <c:v>-23.430156297232859</c:v>
                </c:pt>
                <c:pt idx="83">
                  <c:v>-24.179679420544236</c:v>
                </c:pt>
                <c:pt idx="84">
                  <c:v>-25.256227746572268</c:v>
                </c:pt>
                <c:pt idx="85">
                  <c:v>-26.699874852358462</c:v>
                </c:pt>
                <c:pt idx="86">
                  <c:v>-28.48240523493314</c:v>
                </c:pt>
                <c:pt idx="87">
                  <c:v>-30.526595773294297</c:v>
                </c:pt>
                <c:pt idx="88">
                  <c:v>-32.74512814975099</c:v>
                </c:pt>
                <c:pt idx="89">
                  <c:v>-35.06717823333647</c:v>
                </c:pt>
                <c:pt idx="90">
                  <c:v>-37.445095181476638</c:v>
                </c:pt>
                <c:pt idx="91">
                  <c:v>-39.850308032150267</c:v>
                </c:pt>
                <c:pt idx="92">
                  <c:v>-42.26698505211877</c:v>
                </c:pt>
                <c:pt idx="93">
                  <c:v>-44.686925395379163</c:v>
                </c:pt>
                <c:pt idx="94">
                  <c:v>-47.106210262265151</c:v>
                </c:pt>
                <c:pt idx="95">
                  <c:v>-49.523209375203329</c:v>
                </c:pt>
                <c:pt idx="96">
                  <c:v>-51.937456009632683</c:v>
                </c:pt>
                <c:pt idx="97">
                  <c:v>-54.349034765023731</c:v>
                </c:pt>
                <c:pt idx="98">
                  <c:v>-56.758259235156018</c:v>
                </c:pt>
                <c:pt idx="99">
                  <c:v>-59.165509182138805</c:v>
                </c:pt>
                <c:pt idx="100">
                  <c:v>-61.571153497825904</c:v>
                </c:pt>
              </c:numCache>
            </c:numRef>
          </c:yVal>
          <c:smooth val="1"/>
        </c:ser>
        <c:dLbls>
          <c:showLegendKey val="0"/>
          <c:showVal val="0"/>
          <c:showCatName val="0"/>
          <c:showSerName val="0"/>
          <c:showPercent val="0"/>
          <c:showBubbleSize val="0"/>
        </c:dLbls>
        <c:axId val="46274816"/>
        <c:axId val="50176384"/>
      </c:scatterChart>
      <c:valAx>
        <c:axId val="46274816"/>
        <c:scaling>
          <c:logBase val="10"/>
          <c:orientation val="minMax"/>
          <c:max val="10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Freq (Hz)</a:t>
                </a:r>
              </a:p>
            </c:rich>
          </c:tx>
          <c:layout>
            <c:manualLayout>
              <c:xMode val="edge"/>
              <c:yMode val="edge"/>
              <c:x val="0.42432917196825926"/>
              <c:y val="0.888299003655645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176384"/>
        <c:crossesAt val="0.1"/>
        <c:crossBetween val="midCat"/>
        <c:majorUnit val="100"/>
        <c:minorUnit val="100"/>
      </c:valAx>
      <c:valAx>
        <c:axId val="5017638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Gain (dB)</a:t>
                </a:r>
              </a:p>
            </c:rich>
          </c:tx>
          <c:layout>
            <c:manualLayout>
              <c:xMode val="edge"/>
              <c:yMode val="edge"/>
              <c:x val="3.137254901960785E-2"/>
              <c:y val="0.457228377426273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46274816"/>
        <c:crossesAt val="0.1"/>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orientation="landscape" horizontalDpi="200" verticalDpi="2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Loop Phase</a:t>
            </a:r>
          </a:p>
        </c:rich>
      </c:tx>
      <c:layout>
        <c:manualLayout>
          <c:xMode val="edge"/>
          <c:yMode val="edge"/>
          <c:x val="0.36666728423652922"/>
          <c:y val="3.5087719298245612E-2"/>
        </c:manualLayout>
      </c:layout>
      <c:overlay val="0"/>
      <c:spPr>
        <a:noFill/>
        <a:ln w="25400">
          <a:noFill/>
        </a:ln>
      </c:spPr>
    </c:title>
    <c:autoTitleDeleted val="0"/>
    <c:plotArea>
      <c:layout>
        <c:manualLayout>
          <c:layoutTarget val="inner"/>
          <c:xMode val="edge"/>
          <c:yMode val="edge"/>
          <c:x val="0.15490225739556118"/>
          <c:y val="0.18713503727795291"/>
          <c:w val="0.67843267163119092"/>
          <c:h val="0.67836451013258148"/>
        </c:manualLayout>
      </c:layout>
      <c:scatterChart>
        <c:scatterStyle val="smoothMarker"/>
        <c:varyColors val="0"/>
        <c:ser>
          <c:idx val="0"/>
          <c:order val="0"/>
          <c:tx>
            <c:v>Loop Phase</c:v>
          </c:tx>
          <c:marker>
            <c:symbol val="none"/>
          </c:marker>
          <c:xVal>
            <c:numRef>
              <c:f>Graph_data!$B$7:$B$107</c:f>
              <c:numCache>
                <c:formatCode>General</c:formatCode>
                <c:ptCount val="101"/>
                <c:pt idx="0">
                  <c:v>10</c:v>
                </c:pt>
                <c:pt idx="1">
                  <c:v>11.481536214968829</c:v>
                </c:pt>
                <c:pt idx="2">
                  <c:v>13.182567385564072</c:v>
                </c:pt>
                <c:pt idx="3">
                  <c:v>15.135612484362081</c:v>
                </c:pt>
                <c:pt idx="4">
                  <c:v>17.378008287493756</c:v>
                </c:pt>
                <c:pt idx="5">
                  <c:v>19.952623149688797</c:v>
                </c:pt>
                <c:pt idx="6">
                  <c:v>22.908676527677731</c:v>
                </c:pt>
                <c:pt idx="7">
                  <c:v>26.302679918953821</c:v>
                </c:pt>
                <c:pt idx="8">
                  <c:v>30.199517204020164</c:v>
                </c:pt>
                <c:pt idx="9">
                  <c:v>34.673685045253173</c:v>
                </c:pt>
                <c:pt idx="10">
                  <c:v>39.810717055349727</c:v>
                </c:pt>
                <c:pt idx="11">
                  <c:v>45.708818961487495</c:v>
                </c:pt>
                <c:pt idx="12">
                  <c:v>52.480746024977265</c:v>
                </c:pt>
                <c:pt idx="13">
                  <c:v>60.255958607435794</c:v>
                </c:pt>
                <c:pt idx="14">
                  <c:v>69.183097091893671</c:v>
                </c:pt>
                <c:pt idx="15">
                  <c:v>79.43282347242814</c:v>
                </c:pt>
                <c:pt idx="16">
                  <c:v>91.201083935590987</c:v>
                </c:pt>
                <c:pt idx="17">
                  <c:v>104.71285480508999</c:v>
                </c:pt>
                <c:pt idx="18">
                  <c:v>120.22644346174133</c:v>
                </c:pt>
                <c:pt idx="19">
                  <c:v>138.03842646028852</c:v>
                </c:pt>
                <c:pt idx="20">
                  <c:v>158.48931924611136</c:v>
                </c:pt>
                <c:pt idx="21">
                  <c:v>181.97008586099841</c:v>
                </c:pt>
                <c:pt idx="22">
                  <c:v>208.92961308540393</c:v>
                </c:pt>
                <c:pt idx="23">
                  <c:v>239.88329190194906</c:v>
                </c:pt>
                <c:pt idx="24">
                  <c:v>275.42287033381666</c:v>
                </c:pt>
                <c:pt idx="25">
                  <c:v>316.22776601683802</c:v>
                </c:pt>
                <c:pt idx="26">
                  <c:v>363.07805477010157</c:v>
                </c:pt>
                <c:pt idx="27">
                  <c:v>416.86938347033549</c:v>
                </c:pt>
                <c:pt idx="28">
                  <c:v>478.63009232263857</c:v>
                </c:pt>
                <c:pt idx="29">
                  <c:v>549.54087385762466</c:v>
                </c:pt>
                <c:pt idx="30">
                  <c:v>630.95734448019311</c:v>
                </c:pt>
                <c:pt idx="31">
                  <c:v>724.43596007499013</c:v>
                </c:pt>
                <c:pt idx="32">
                  <c:v>831.76377110267129</c:v>
                </c:pt>
                <c:pt idx="33">
                  <c:v>954.99258602143652</c:v>
                </c:pt>
                <c:pt idx="34">
                  <c:v>1096.4781961431861</c:v>
                </c:pt>
                <c:pt idx="35">
                  <c:v>1258.9254117941678</c:v>
                </c:pt>
                <c:pt idx="36">
                  <c:v>1445.4397707459284</c:v>
                </c:pt>
                <c:pt idx="37">
                  <c:v>1659.5869074375607</c:v>
                </c:pt>
                <c:pt idx="38">
                  <c:v>1905.460717963248</c:v>
                </c:pt>
                <c:pt idx="39">
                  <c:v>2187.7616239495524</c:v>
                </c:pt>
                <c:pt idx="40">
                  <c:v>2511.8864315095807</c:v>
                </c:pt>
                <c:pt idx="41">
                  <c:v>2884.0315031266073</c:v>
                </c:pt>
                <c:pt idx="42">
                  <c:v>3311.3112148259138</c:v>
                </c:pt>
                <c:pt idx="43">
                  <c:v>3801.8939632056163</c:v>
                </c:pt>
                <c:pt idx="44">
                  <c:v>4365.1583224016586</c:v>
                </c:pt>
                <c:pt idx="45">
                  <c:v>5011.8723362727233</c:v>
                </c:pt>
                <c:pt idx="46">
                  <c:v>5754.3993733715706</c:v>
                </c:pt>
                <c:pt idx="47">
                  <c:v>6606.9344800759645</c:v>
                </c:pt>
                <c:pt idx="48">
                  <c:v>7585.7757502918375</c:v>
                </c:pt>
                <c:pt idx="49">
                  <c:v>8709.6358995608098</c:v>
                </c:pt>
                <c:pt idx="50">
                  <c:v>10000</c:v>
                </c:pt>
                <c:pt idx="51">
                  <c:v>11481.536214968839</c:v>
                </c:pt>
                <c:pt idx="52">
                  <c:v>13182.567385564089</c:v>
                </c:pt>
                <c:pt idx="53">
                  <c:v>15135.61248436208</c:v>
                </c:pt>
                <c:pt idx="54">
                  <c:v>17378.008287493758</c:v>
                </c:pt>
                <c:pt idx="55">
                  <c:v>19952.623149688803</c:v>
                </c:pt>
                <c:pt idx="56">
                  <c:v>22908.676527677748</c:v>
                </c:pt>
                <c:pt idx="57">
                  <c:v>26302.679918953821</c:v>
                </c:pt>
                <c:pt idx="58">
                  <c:v>30199.517204020176</c:v>
                </c:pt>
                <c:pt idx="59">
                  <c:v>34673.685045253224</c:v>
                </c:pt>
                <c:pt idx="60">
                  <c:v>39810.717055349698</c:v>
                </c:pt>
                <c:pt idx="61">
                  <c:v>45708.81896148753</c:v>
                </c:pt>
                <c:pt idx="62">
                  <c:v>52480.746024977263</c:v>
                </c:pt>
                <c:pt idx="63">
                  <c:v>60255.958607435852</c:v>
                </c:pt>
                <c:pt idx="64">
                  <c:v>69183.097091893695</c:v>
                </c:pt>
                <c:pt idx="65">
                  <c:v>79432.82347242815</c:v>
                </c:pt>
                <c:pt idx="66">
                  <c:v>91201.083935591087</c:v>
                </c:pt>
                <c:pt idx="67">
                  <c:v>104712.85480509003</c:v>
                </c:pt>
                <c:pt idx="68">
                  <c:v>120226.44346174151</c:v>
                </c:pt>
                <c:pt idx="69">
                  <c:v>138038.42646028841</c:v>
                </c:pt>
                <c:pt idx="70">
                  <c:v>158489.31924611147</c:v>
                </c:pt>
                <c:pt idx="71">
                  <c:v>181970.08586099837</c:v>
                </c:pt>
                <c:pt idx="72">
                  <c:v>208929.61308540424</c:v>
                </c:pt>
                <c:pt idx="73">
                  <c:v>239883.29190194924</c:v>
                </c:pt>
                <c:pt idx="74">
                  <c:v>275422.87033381674</c:v>
                </c:pt>
                <c:pt idx="75">
                  <c:v>316227.76601683837</c:v>
                </c:pt>
                <c:pt idx="76">
                  <c:v>363078.05477010168</c:v>
                </c:pt>
                <c:pt idx="77">
                  <c:v>416869.38347033627</c:v>
                </c:pt>
                <c:pt idx="78">
                  <c:v>478630.09232263826</c:v>
                </c:pt>
                <c:pt idx="79">
                  <c:v>549540.87385762506</c:v>
                </c:pt>
                <c:pt idx="80">
                  <c:v>630957.34448019345</c:v>
                </c:pt>
                <c:pt idx="81">
                  <c:v>724435.96007498982</c:v>
                </c:pt>
                <c:pt idx="82">
                  <c:v>831763.77110267174</c:v>
                </c:pt>
                <c:pt idx="83">
                  <c:v>954992.58602143626</c:v>
                </c:pt>
                <c:pt idx="84">
                  <c:v>1096478.1961431869</c:v>
                </c:pt>
                <c:pt idx="85">
                  <c:v>1258925.4117941684</c:v>
                </c:pt>
                <c:pt idx="86">
                  <c:v>1445439.7707459307</c:v>
                </c:pt>
                <c:pt idx="87">
                  <c:v>1659586.9074375604</c:v>
                </c:pt>
                <c:pt idx="88">
                  <c:v>1905460.7179632459</c:v>
                </c:pt>
                <c:pt idx="89">
                  <c:v>2187761.6239495538</c:v>
                </c:pt>
                <c:pt idx="90">
                  <c:v>2511886.43150958</c:v>
                </c:pt>
                <c:pt idx="91">
                  <c:v>2884031.5031266091</c:v>
                </c:pt>
                <c:pt idx="92">
                  <c:v>3311311.2148259124</c:v>
                </c:pt>
                <c:pt idx="93">
                  <c:v>3801893.9632056188</c:v>
                </c:pt>
                <c:pt idx="94">
                  <c:v>4365158.3224016652</c:v>
                </c:pt>
                <c:pt idx="95">
                  <c:v>5011872.3362727351</c:v>
                </c:pt>
                <c:pt idx="96">
                  <c:v>5754399.3733715694</c:v>
                </c:pt>
                <c:pt idx="97">
                  <c:v>6606934.4800759563</c:v>
                </c:pt>
                <c:pt idx="98">
                  <c:v>7585775.750291842</c:v>
                </c:pt>
                <c:pt idx="99">
                  <c:v>8709635.8995608073</c:v>
                </c:pt>
                <c:pt idx="100">
                  <c:v>10000000</c:v>
                </c:pt>
              </c:numCache>
            </c:numRef>
          </c:xVal>
          <c:yVal>
            <c:numRef>
              <c:f>Graph_data!$V$7:$V$107</c:f>
              <c:numCache>
                <c:formatCode>General</c:formatCode>
                <c:ptCount val="101"/>
                <c:pt idx="0">
                  <c:v>-56.21614936163504</c:v>
                </c:pt>
                <c:pt idx="1">
                  <c:v>-59.835708514919105</c:v>
                </c:pt>
                <c:pt idx="2">
                  <c:v>-63.231946578722926</c:v>
                </c:pt>
                <c:pt idx="3">
                  <c:v>-66.378462902288263</c:v>
                </c:pt>
                <c:pt idx="4">
                  <c:v>-69.263438804685563</c:v>
                </c:pt>
                <c:pt idx="5">
                  <c:v>-71.887255176131646</c:v>
                </c:pt>
                <c:pt idx="6">
                  <c:v>-74.259590301216278</c:v>
                </c:pt>
                <c:pt idx="7">
                  <c:v>-76.396585724331487</c:v>
                </c:pt>
                <c:pt idx="8">
                  <c:v>-78.318420501183439</c:v>
                </c:pt>
                <c:pt idx="9">
                  <c:v>-80.047424909451294</c:v>
                </c:pt>
                <c:pt idx="10">
                  <c:v>-81.606728122544538</c:v>
                </c:pt>
                <c:pt idx="11">
                  <c:v>-83.019365036576545</c:v>
                </c:pt>
                <c:pt idx="12">
                  <c:v>-84.307744855894185</c:v>
                </c:pt>
                <c:pt idx="13">
                  <c:v>-85.493387696136551</c:v>
                </c:pt>
                <c:pt idx="14">
                  <c:v>-86.596850570135004</c:v>
                </c:pt>
                <c:pt idx="15">
                  <c:v>-87.637781929745842</c:v>
                </c:pt>
                <c:pt idx="16">
                  <c:v>-88.635060126190368</c:v>
                </c:pt>
                <c:pt idx="17">
                  <c:v>-89.606984073109075</c:v>
                </c:pt>
                <c:pt idx="18">
                  <c:v>-90.571493759097237</c:v>
                </c:pt>
                <c:pt idx="19">
                  <c:v>-91.54640431411093</c:v>
                </c:pt>
                <c:pt idx="20">
                  <c:v>-92.549640441917603</c:v>
                </c:pt>
                <c:pt idx="21">
                  <c:v>-93.599458428031923</c:v>
                </c:pt>
                <c:pt idx="22">
                  <c:v>-94.714640654602903</c:v>
                </c:pt>
                <c:pt idx="23">
                  <c:v>-95.914642421023657</c:v>
                </c:pt>
                <c:pt idx="24">
                  <c:v>-97.219662547444173</c:v>
                </c:pt>
                <c:pt idx="25">
                  <c:v>-98.650597406075221</c:v>
                </c:pt>
                <c:pt idx="26">
                  <c:v>-100.22882273022982</c:v>
                </c:pt>
                <c:pt idx="27">
                  <c:v>-101.97572988930108</c:v>
                </c:pt>
                <c:pt idx="28">
                  <c:v>-103.91192657605103</c:v>
                </c:pt>
                <c:pt idx="29">
                  <c:v>-106.05600315456405</c:v>
                </c:pt>
                <c:pt idx="30">
                  <c:v>-108.42277800262116</c:v>
                </c:pt>
                <c:pt idx="31">
                  <c:v>-111.02098699150081</c:v>
                </c:pt>
                <c:pt idx="32">
                  <c:v>-113.85049543428403</c:v>
                </c:pt>
                <c:pt idx="33">
                  <c:v>-116.89929805782525</c:v>
                </c:pt>
                <c:pt idx="34">
                  <c:v>-120.14081522247061</c:v>
                </c:pt>
                <c:pt idx="35">
                  <c:v>-123.5322162216726</c:v>
                </c:pt>
                <c:pt idx="36">
                  <c:v>-127.01456618115805</c:v>
                </c:pt>
                <c:pt idx="37">
                  <c:v>-130.51535558394329</c:v>
                </c:pt>
                <c:pt idx="38">
                  <c:v>-133.95338996707292</c:v>
                </c:pt>
                <c:pt idx="39">
                  <c:v>-137.24526243816416</c:v>
                </c:pt>
                <c:pt idx="40">
                  <c:v>-140.31205453733747</c:v>
                </c:pt>
                <c:pt idx="41">
                  <c:v>-143.08483182263868</c:v>
                </c:pt>
                <c:pt idx="42">
                  <c:v>-145.50796903165434</c:v>
                </c:pt>
                <c:pt idx="43">
                  <c:v>-147.54009562885301</c:v>
                </c:pt>
                <c:pt idx="44">
                  <c:v>-149.15312703671779</c:v>
                </c:pt>
                <c:pt idx="45">
                  <c:v>-150.33020522903738</c:v>
                </c:pt>
                <c:pt idx="46">
                  <c:v>-151.06340021419135</c:v>
                </c:pt>
                <c:pt idx="47">
                  <c:v>-151.3518466554448</c:v>
                </c:pt>
                <c:pt idx="48">
                  <c:v>-151.20074732152108</c:v>
                </c:pt>
                <c:pt idx="49">
                  <c:v>-150.62144765467545</c:v>
                </c:pt>
                <c:pt idx="50">
                  <c:v>-149.6325860706088</c:v>
                </c:pt>
                <c:pt idx="51">
                  <c:v>-148.26212545656338</c:v>
                </c:pt>
                <c:pt idx="52">
                  <c:v>-146.54984470063744</c:v>
                </c:pt>
                <c:pt idx="53">
                  <c:v>-144.54962528687159</c:v>
                </c:pt>
                <c:pt idx="54">
                  <c:v>-142.330684506154</c:v>
                </c:pt>
                <c:pt idx="55">
                  <c:v>-139.97692193556847</c:v>
                </c:pt>
                <c:pt idx="56">
                  <c:v>-137.58388744528165</c:v>
                </c:pt>
                <c:pt idx="57">
                  <c:v>-135.25354004344518</c:v>
                </c:pt>
                <c:pt idx="58">
                  <c:v>-133.08772072186551</c:v>
                </c:pt>
                <c:pt idx="59">
                  <c:v>-131.18174134222519</c:v>
                </c:pt>
                <c:pt idx="60">
                  <c:v>-129.61942667009311</c:v>
                </c:pt>
                <c:pt idx="61">
                  <c:v>-128.47037569259453</c:v>
                </c:pt>
                <c:pt idx="62">
                  <c:v>-127.78944740437166</c:v>
                </c:pt>
                <c:pt idx="63">
                  <c:v>-127.61788438933765</c:v>
                </c:pt>
                <c:pt idx="64">
                  <c:v>-127.98524967611343</c:v>
                </c:pt>
                <c:pt idx="65">
                  <c:v>-128.91143919194323</c:v>
                </c:pt>
                <c:pt idx="66">
                  <c:v>-130.40829913063351</c:v>
                </c:pt>
                <c:pt idx="67">
                  <c:v>-132.48067715926049</c:v>
                </c:pt>
                <c:pt idx="68">
                  <c:v>-135.12697445119366</c:v>
                </c:pt>
                <c:pt idx="69">
                  <c:v>-138.33941281791479</c:v>
                </c:pt>
                <c:pt idx="70">
                  <c:v>-142.10432008285002</c:v>
                </c:pt>
                <c:pt idx="71">
                  <c:v>-146.40283810422198</c:v>
                </c:pt>
                <c:pt idx="72">
                  <c:v>-151.21261140694514</c:v>
                </c:pt>
                <c:pt idx="73">
                  <c:v>-156.51114124525708</c:v>
                </c:pt>
                <c:pt idx="74">
                  <c:v>-162.28139859677742</c:v>
                </c:pt>
                <c:pt idx="75">
                  <c:v>-168.51984269613689</c:v>
                </c:pt>
                <c:pt idx="76">
                  <c:v>-175.24627865781792</c:v>
                </c:pt>
                <c:pt idx="77">
                  <c:v>-182.51423058621378</c:v>
                </c:pt>
                <c:pt idx="78">
                  <c:v>-190.41965131806069</c:v>
                </c:pt>
                <c:pt idx="79">
                  <c:v>-199.10407631794993</c:v>
                </c:pt>
                <c:pt idx="80">
                  <c:v>-208.74429711651129</c:v>
                </c:pt>
                <c:pt idx="81">
                  <c:v>-219.51353449826968</c:v>
                </c:pt>
                <c:pt idx="82">
                  <c:v>-231.49439773204739</c:v>
                </c:pt>
                <c:pt idx="83">
                  <c:v>-244.54368349525805</c:v>
                </c:pt>
                <c:pt idx="84">
                  <c:v>-258.18174736713451</c:v>
                </c:pt>
                <c:pt idx="85">
                  <c:v>-271.65179162294618</c:v>
                </c:pt>
                <c:pt idx="86">
                  <c:v>-284.19068847305903</c:v>
                </c:pt>
                <c:pt idx="87">
                  <c:v>-295.30663062374992</c:v>
                </c:pt>
                <c:pt idx="88">
                  <c:v>-304.85043090515597</c:v>
                </c:pt>
                <c:pt idx="89">
                  <c:v>-312.91144459731504</c:v>
                </c:pt>
                <c:pt idx="90">
                  <c:v>-319.68363119241059</c:v>
                </c:pt>
                <c:pt idx="91">
                  <c:v>-325.37844900347358</c:v>
                </c:pt>
                <c:pt idx="92">
                  <c:v>-330.18607665767126</c:v>
                </c:pt>
                <c:pt idx="93">
                  <c:v>-334.26463379790198</c:v>
                </c:pt>
                <c:pt idx="94">
                  <c:v>-337.74145411191597</c:v>
                </c:pt>
                <c:pt idx="95">
                  <c:v>-340.71813555582304</c:v>
                </c:pt>
                <c:pt idx="96">
                  <c:v>-343.27592980602805</c:v>
                </c:pt>
                <c:pt idx="97">
                  <c:v>-345.4803377279037</c:v>
                </c:pt>
                <c:pt idx="98">
                  <c:v>-347.38471035113719</c:v>
                </c:pt>
                <c:pt idx="99">
                  <c:v>-349.03297179856395</c:v>
                </c:pt>
                <c:pt idx="100">
                  <c:v>-350.46165242881096</c:v>
                </c:pt>
              </c:numCache>
            </c:numRef>
          </c:yVal>
          <c:smooth val="1"/>
        </c:ser>
        <c:dLbls>
          <c:showLegendKey val="0"/>
          <c:showVal val="0"/>
          <c:showCatName val="0"/>
          <c:showSerName val="0"/>
          <c:showPercent val="0"/>
          <c:showBubbleSize val="0"/>
        </c:dLbls>
        <c:axId val="50216960"/>
        <c:axId val="50344704"/>
      </c:scatterChart>
      <c:valAx>
        <c:axId val="50216960"/>
        <c:scaling>
          <c:logBase val="10"/>
          <c:orientation val="minMax"/>
          <c:max val="10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Freq (Hz)</a:t>
                </a:r>
              </a:p>
            </c:rich>
          </c:tx>
          <c:layout>
            <c:manualLayout>
              <c:xMode val="edge"/>
              <c:yMode val="edge"/>
              <c:x val="0.44313807832844432"/>
              <c:y val="0.894739297938634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344704"/>
        <c:crosses val="autoZero"/>
        <c:crossBetween val="midCat"/>
        <c:majorUnit val="100"/>
        <c:minorUnit val="100"/>
      </c:valAx>
      <c:valAx>
        <c:axId val="5034470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Phase (degrees)</a:t>
                </a:r>
              </a:p>
            </c:rich>
          </c:tx>
          <c:layout>
            <c:manualLayout>
              <c:xMode val="edge"/>
              <c:yMode val="edge"/>
              <c:x val="3.333333333333334E-2"/>
              <c:y val="0.385966140197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216960"/>
        <c:crossesAt val="0.1"/>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A Gain</a:t>
            </a:r>
          </a:p>
        </c:rich>
      </c:tx>
      <c:layout>
        <c:manualLayout>
          <c:xMode val="edge"/>
          <c:yMode val="edge"/>
          <c:x val="0.37451042149143132"/>
          <c:y val="3.5398230088495596E-2"/>
        </c:manualLayout>
      </c:layout>
      <c:overlay val="0"/>
      <c:spPr>
        <a:noFill/>
        <a:ln w="25400">
          <a:noFill/>
        </a:ln>
      </c:spPr>
    </c:title>
    <c:autoTitleDeleted val="0"/>
    <c:plotArea>
      <c:layout>
        <c:manualLayout>
          <c:layoutTarget val="inner"/>
          <c:xMode val="edge"/>
          <c:yMode val="edge"/>
          <c:x val="0.12352964830278856"/>
          <c:y val="0.20354040935082957"/>
          <c:w val="0.70980528072395976"/>
          <c:h val="0.66371872614401028"/>
        </c:manualLayout>
      </c:layout>
      <c:scatterChart>
        <c:scatterStyle val="smoothMarker"/>
        <c:varyColors val="0"/>
        <c:ser>
          <c:idx val="0"/>
          <c:order val="0"/>
          <c:tx>
            <c:v>T Gain</c:v>
          </c:tx>
          <c:marker>
            <c:symbol val="none"/>
          </c:marker>
          <c:xVal>
            <c:numRef>
              <c:f>Graph_data!$B$7:$B$107</c:f>
              <c:numCache>
                <c:formatCode>General</c:formatCode>
                <c:ptCount val="101"/>
                <c:pt idx="0">
                  <c:v>10</c:v>
                </c:pt>
                <c:pt idx="1">
                  <c:v>11.481536214968829</c:v>
                </c:pt>
                <c:pt idx="2">
                  <c:v>13.182567385564072</c:v>
                </c:pt>
                <c:pt idx="3">
                  <c:v>15.135612484362081</c:v>
                </c:pt>
                <c:pt idx="4">
                  <c:v>17.378008287493756</c:v>
                </c:pt>
                <c:pt idx="5">
                  <c:v>19.952623149688797</c:v>
                </c:pt>
                <c:pt idx="6">
                  <c:v>22.908676527677731</c:v>
                </c:pt>
                <c:pt idx="7">
                  <c:v>26.302679918953821</c:v>
                </c:pt>
                <c:pt idx="8">
                  <c:v>30.199517204020164</c:v>
                </c:pt>
                <c:pt idx="9">
                  <c:v>34.673685045253173</c:v>
                </c:pt>
                <c:pt idx="10">
                  <c:v>39.810717055349727</c:v>
                </c:pt>
                <c:pt idx="11">
                  <c:v>45.708818961487495</c:v>
                </c:pt>
                <c:pt idx="12">
                  <c:v>52.480746024977265</c:v>
                </c:pt>
                <c:pt idx="13">
                  <c:v>60.255958607435794</c:v>
                </c:pt>
                <c:pt idx="14">
                  <c:v>69.183097091893671</c:v>
                </c:pt>
                <c:pt idx="15">
                  <c:v>79.43282347242814</c:v>
                </c:pt>
                <c:pt idx="16">
                  <c:v>91.201083935590987</c:v>
                </c:pt>
                <c:pt idx="17">
                  <c:v>104.71285480508999</c:v>
                </c:pt>
                <c:pt idx="18">
                  <c:v>120.22644346174133</c:v>
                </c:pt>
                <c:pt idx="19">
                  <c:v>138.03842646028852</c:v>
                </c:pt>
                <c:pt idx="20">
                  <c:v>158.48931924611136</c:v>
                </c:pt>
                <c:pt idx="21">
                  <c:v>181.97008586099841</c:v>
                </c:pt>
                <c:pt idx="22">
                  <c:v>208.92961308540393</c:v>
                </c:pt>
                <c:pt idx="23">
                  <c:v>239.88329190194906</c:v>
                </c:pt>
                <c:pt idx="24">
                  <c:v>275.42287033381666</c:v>
                </c:pt>
                <c:pt idx="25">
                  <c:v>316.22776601683802</c:v>
                </c:pt>
                <c:pt idx="26">
                  <c:v>363.07805477010157</c:v>
                </c:pt>
                <c:pt idx="27">
                  <c:v>416.86938347033549</c:v>
                </c:pt>
                <c:pt idx="28">
                  <c:v>478.63009232263857</c:v>
                </c:pt>
                <c:pt idx="29">
                  <c:v>549.54087385762466</c:v>
                </c:pt>
                <c:pt idx="30">
                  <c:v>630.95734448019311</c:v>
                </c:pt>
                <c:pt idx="31">
                  <c:v>724.43596007499013</c:v>
                </c:pt>
                <c:pt idx="32">
                  <c:v>831.76377110267129</c:v>
                </c:pt>
                <c:pt idx="33">
                  <c:v>954.99258602143652</c:v>
                </c:pt>
                <c:pt idx="34">
                  <c:v>1096.4781961431861</c:v>
                </c:pt>
                <c:pt idx="35">
                  <c:v>1258.9254117941678</c:v>
                </c:pt>
                <c:pt idx="36">
                  <c:v>1445.4397707459284</c:v>
                </c:pt>
                <c:pt idx="37">
                  <c:v>1659.5869074375607</c:v>
                </c:pt>
                <c:pt idx="38">
                  <c:v>1905.460717963248</c:v>
                </c:pt>
                <c:pt idx="39">
                  <c:v>2187.7616239495524</c:v>
                </c:pt>
                <c:pt idx="40">
                  <c:v>2511.8864315095807</c:v>
                </c:pt>
                <c:pt idx="41">
                  <c:v>2884.0315031266073</c:v>
                </c:pt>
                <c:pt idx="42">
                  <c:v>3311.3112148259138</c:v>
                </c:pt>
                <c:pt idx="43">
                  <c:v>3801.8939632056163</c:v>
                </c:pt>
                <c:pt idx="44">
                  <c:v>4365.1583224016586</c:v>
                </c:pt>
                <c:pt idx="45">
                  <c:v>5011.8723362727233</c:v>
                </c:pt>
                <c:pt idx="46">
                  <c:v>5754.3993733715706</c:v>
                </c:pt>
                <c:pt idx="47">
                  <c:v>6606.9344800759645</c:v>
                </c:pt>
                <c:pt idx="48">
                  <c:v>7585.7757502918375</c:v>
                </c:pt>
                <c:pt idx="49">
                  <c:v>8709.6358995608098</c:v>
                </c:pt>
                <c:pt idx="50">
                  <c:v>10000</c:v>
                </c:pt>
                <c:pt idx="51">
                  <c:v>11481.536214968839</c:v>
                </c:pt>
                <c:pt idx="52">
                  <c:v>13182.567385564089</c:v>
                </c:pt>
                <c:pt idx="53">
                  <c:v>15135.61248436208</c:v>
                </c:pt>
                <c:pt idx="54">
                  <c:v>17378.008287493758</c:v>
                </c:pt>
                <c:pt idx="55">
                  <c:v>19952.623149688803</c:v>
                </c:pt>
                <c:pt idx="56">
                  <c:v>22908.676527677748</c:v>
                </c:pt>
                <c:pt idx="57">
                  <c:v>26302.679918953821</c:v>
                </c:pt>
                <c:pt idx="58">
                  <c:v>30199.517204020176</c:v>
                </c:pt>
                <c:pt idx="59">
                  <c:v>34673.685045253224</c:v>
                </c:pt>
                <c:pt idx="60">
                  <c:v>39810.717055349698</c:v>
                </c:pt>
                <c:pt idx="61">
                  <c:v>45708.81896148753</c:v>
                </c:pt>
                <c:pt idx="62">
                  <c:v>52480.746024977263</c:v>
                </c:pt>
                <c:pt idx="63">
                  <c:v>60255.958607435852</c:v>
                </c:pt>
                <c:pt idx="64">
                  <c:v>69183.097091893695</c:v>
                </c:pt>
                <c:pt idx="65">
                  <c:v>79432.82347242815</c:v>
                </c:pt>
                <c:pt idx="66">
                  <c:v>91201.083935591087</c:v>
                </c:pt>
                <c:pt idx="67">
                  <c:v>104712.85480509003</c:v>
                </c:pt>
                <c:pt idx="68">
                  <c:v>120226.44346174151</c:v>
                </c:pt>
                <c:pt idx="69">
                  <c:v>138038.42646028841</c:v>
                </c:pt>
                <c:pt idx="70">
                  <c:v>158489.31924611147</c:v>
                </c:pt>
                <c:pt idx="71">
                  <c:v>181970.08586099837</c:v>
                </c:pt>
                <c:pt idx="72">
                  <c:v>208929.61308540424</c:v>
                </c:pt>
                <c:pt idx="73">
                  <c:v>239883.29190194924</c:v>
                </c:pt>
                <c:pt idx="74">
                  <c:v>275422.87033381674</c:v>
                </c:pt>
                <c:pt idx="75">
                  <c:v>316227.76601683837</c:v>
                </c:pt>
                <c:pt idx="76">
                  <c:v>363078.05477010168</c:v>
                </c:pt>
                <c:pt idx="77">
                  <c:v>416869.38347033627</c:v>
                </c:pt>
                <c:pt idx="78">
                  <c:v>478630.09232263826</c:v>
                </c:pt>
                <c:pt idx="79">
                  <c:v>549540.87385762506</c:v>
                </c:pt>
                <c:pt idx="80">
                  <c:v>630957.34448019345</c:v>
                </c:pt>
                <c:pt idx="81">
                  <c:v>724435.96007498982</c:v>
                </c:pt>
                <c:pt idx="82">
                  <c:v>831763.77110267174</c:v>
                </c:pt>
                <c:pt idx="83">
                  <c:v>954992.58602143626</c:v>
                </c:pt>
                <c:pt idx="84">
                  <c:v>1096478.1961431869</c:v>
                </c:pt>
                <c:pt idx="85">
                  <c:v>1258925.4117941684</c:v>
                </c:pt>
                <c:pt idx="86">
                  <c:v>1445439.7707459307</c:v>
                </c:pt>
                <c:pt idx="87">
                  <c:v>1659586.9074375604</c:v>
                </c:pt>
                <c:pt idx="88">
                  <c:v>1905460.7179632459</c:v>
                </c:pt>
                <c:pt idx="89">
                  <c:v>2187761.6239495538</c:v>
                </c:pt>
                <c:pt idx="90">
                  <c:v>2511886.43150958</c:v>
                </c:pt>
                <c:pt idx="91">
                  <c:v>2884031.5031266091</c:v>
                </c:pt>
                <c:pt idx="92">
                  <c:v>3311311.2148259124</c:v>
                </c:pt>
                <c:pt idx="93">
                  <c:v>3801893.9632056188</c:v>
                </c:pt>
                <c:pt idx="94">
                  <c:v>4365158.3224016652</c:v>
                </c:pt>
                <c:pt idx="95">
                  <c:v>5011872.3362727351</c:v>
                </c:pt>
                <c:pt idx="96">
                  <c:v>5754399.3733715694</c:v>
                </c:pt>
                <c:pt idx="97">
                  <c:v>6606934.4800759563</c:v>
                </c:pt>
                <c:pt idx="98">
                  <c:v>7585775.750291842</c:v>
                </c:pt>
                <c:pt idx="99">
                  <c:v>8709635.8995608073</c:v>
                </c:pt>
                <c:pt idx="100">
                  <c:v>10000000</c:v>
                </c:pt>
              </c:numCache>
            </c:numRef>
          </c:xVal>
          <c:yVal>
            <c:numRef>
              <c:f>Graph_data!$K$7:$K$107</c:f>
              <c:numCache>
                <c:formatCode>General</c:formatCode>
                <c:ptCount val="101"/>
                <c:pt idx="0">
                  <c:v>18.802827334645713</c:v>
                </c:pt>
                <c:pt idx="1">
                  <c:v>18.802779129041486</c:v>
                </c:pt>
                <c:pt idx="2">
                  <c:v>18.802715582496706</c:v>
                </c:pt>
                <c:pt idx="3">
                  <c:v>18.802631813257015</c:v>
                </c:pt>
                <c:pt idx="4">
                  <c:v>18.802521386361931</c:v>
                </c:pt>
                <c:pt idx="5">
                  <c:v>18.802375819654856</c:v>
                </c:pt>
                <c:pt idx="6">
                  <c:v>18.802183932819588</c:v>
                </c:pt>
                <c:pt idx="7">
                  <c:v>18.801930989663983</c:v>
                </c:pt>
                <c:pt idx="8">
                  <c:v>18.801597568160414</c:v>
                </c:pt>
                <c:pt idx="9">
                  <c:v>18.801158072138332</c:v>
                </c:pt>
                <c:pt idx="10">
                  <c:v>18.800578771517401</c:v>
                </c:pt>
                <c:pt idx="11">
                  <c:v>18.799815222659245</c:v>
                </c:pt>
                <c:pt idx="12">
                  <c:v>18.798808874372991</c:v>
                </c:pt>
                <c:pt idx="13">
                  <c:v>18.797482605288465</c:v>
                </c:pt>
                <c:pt idx="14">
                  <c:v>18.795734860965037</c:v>
                </c:pt>
                <c:pt idx="15">
                  <c:v>18.793431959756909</c:v>
                </c:pt>
                <c:pt idx="16">
                  <c:v>18.790398009998896</c:v>
                </c:pt>
                <c:pt idx="17">
                  <c:v>18.786401722125799</c:v>
                </c:pt>
                <c:pt idx="18">
                  <c:v>18.781139203084486</c:v>
                </c:pt>
                <c:pt idx="19">
                  <c:v>18.77421158434759</c:v>
                </c:pt>
                <c:pt idx="20">
                  <c:v>18.765096062090599</c:v>
                </c:pt>
                <c:pt idx="21">
                  <c:v>18.753108633178332</c:v>
                </c:pt>
                <c:pt idx="22">
                  <c:v>18.737356529363819</c:v>
                </c:pt>
                <c:pt idx="23">
                  <c:v>18.716678157610858</c:v>
                </c:pt>
                <c:pt idx="24">
                  <c:v>18.689568381125575</c:v>
                </c:pt>
                <c:pt idx="25">
                  <c:v>18.654087452588627</c:v>
                </c:pt>
                <c:pt idx="26">
                  <c:v>18.607753201242204</c:v>
                </c:pt>
                <c:pt idx="27">
                  <c:v>18.547418706856604</c:v>
                </c:pt>
                <c:pt idx="28">
                  <c:v>18.469142344284567</c:v>
                </c:pt>
                <c:pt idx="29">
                  <c:v>18.368064443316051</c:v>
                </c:pt>
                <c:pt idx="30">
                  <c:v>18.238315199134462</c:v>
                </c:pt>
                <c:pt idx="31">
                  <c:v>18.072991064855987</c:v>
                </c:pt>
                <c:pt idx="32">
                  <c:v>17.864248525665523</c:v>
                </c:pt>
                <c:pt idx="33">
                  <c:v>17.603568337710517</c:v>
                </c:pt>
                <c:pt idx="34">
                  <c:v>17.282230284570069</c:v>
                </c:pt>
                <c:pt idx="35">
                  <c:v>16.891999029803515</c:v>
                </c:pt>
                <c:pt idx="36">
                  <c:v>16.425955204179633</c:v>
                </c:pt>
                <c:pt idx="37">
                  <c:v>15.879330018371531</c:v>
                </c:pt>
                <c:pt idx="38">
                  <c:v>15.250152865028424</c:v>
                </c:pt>
                <c:pt idx="39">
                  <c:v>14.539537576101509</c:v>
                </c:pt>
                <c:pt idx="40">
                  <c:v>13.751524006402807</c:v>
                </c:pt>
                <c:pt idx="41">
                  <c:v>12.892522109460959</c:v>
                </c:pt>
                <c:pt idx="42">
                  <c:v>11.970513619984317</c:v>
                </c:pt>
                <c:pt idx="43">
                  <c:v>10.994205287169223</c:v>
                </c:pt>
                <c:pt idx="44">
                  <c:v>9.9722944157370446</c:v>
                </c:pt>
                <c:pt idx="45">
                  <c:v>8.9129351883124581</c:v>
                </c:pt>
                <c:pt idx="46">
                  <c:v>7.8234223909402623</c:v>
                </c:pt>
                <c:pt idx="47">
                  <c:v>6.7100613800470903</c:v>
                </c:pt>
                <c:pt idx="48">
                  <c:v>5.578173322257344</c:v>
                </c:pt>
                <c:pt idx="49">
                  <c:v>4.4321851916605279</c:v>
                </c:pt>
                <c:pt idx="50">
                  <c:v>3.2757645657463281</c:v>
                </c:pt>
                <c:pt idx="51">
                  <c:v>2.1119723192555453</c:v>
                </c:pt>
                <c:pt idx="52">
                  <c:v>0.9434178455135821</c:v>
                </c:pt>
                <c:pt idx="53">
                  <c:v>-0.22758991897712369</c:v>
                </c:pt>
                <c:pt idx="54">
                  <c:v>-1.398896546304186</c:v>
                </c:pt>
                <c:pt idx="55">
                  <c:v>-2.5683584676564419</c:v>
                </c:pt>
                <c:pt idx="56">
                  <c:v>-3.7336967293960543</c:v>
                </c:pt>
                <c:pt idx="57">
                  <c:v>-4.8923422303852595</c:v>
                </c:pt>
                <c:pt idx="58">
                  <c:v>-6.0412663794006942</c:v>
                </c:pt>
                <c:pt idx="59">
                  <c:v>-7.1767919741179274</c:v>
                </c:pt>
                <c:pt idx="60">
                  <c:v>-8.2943813839734837</c:v>
                </c:pt>
                <c:pt idx="61">
                  <c:v>-9.3884035511455153</c:v>
                </c:pt>
                <c:pt idx="62">
                  <c:v>-10.451888880839926</c:v>
                </c:pt>
                <c:pt idx="63">
                  <c:v>-11.47629272345166</c:v>
                </c:pt>
                <c:pt idx="64">
                  <c:v>-12.451304153269845</c:v>
                </c:pt>
                <c:pt idx="65">
                  <c:v>-13.364755634239295</c:v>
                </c:pt>
                <c:pt idx="66">
                  <c:v>-14.20270617503985</c:v>
                </c:pt>
                <c:pt idx="67">
                  <c:v>-14.949776687017815</c:v>
                </c:pt>
                <c:pt idx="68">
                  <c:v>-15.589799476156907</c:v>
                </c:pt>
                <c:pt idx="69">
                  <c:v>-16.106794734137175</c:v>
                </c:pt>
                <c:pt idx="70">
                  <c:v>-16.48620806025907</c:v>
                </c:pt>
                <c:pt idx="71">
                  <c:v>-16.716255965743368</c:v>
                </c:pt>
                <c:pt idx="72">
                  <c:v>-16.789167277089245</c:v>
                </c:pt>
                <c:pt idx="73">
                  <c:v>-16.702110863307766</c:v>
                </c:pt>
                <c:pt idx="74">
                  <c:v>-16.457676759838186</c:v>
                </c:pt>
                <c:pt idx="75">
                  <c:v>-16.063917829741388</c:v>
                </c:pt>
                <c:pt idx="76">
                  <c:v>-15.53414062990765</c:v>
                </c:pt>
                <c:pt idx="77">
                  <c:v>-14.886834199836766</c:v>
                </c:pt>
                <c:pt idx="78">
                  <c:v>-14.146318072199888</c:v>
                </c:pt>
                <c:pt idx="79">
                  <c:v>-13.344819801406798</c:v>
                </c:pt>
                <c:pt idx="80">
                  <c:v>-12.526566612036822</c:v>
                </c:pt>
                <c:pt idx="81">
                  <c:v>-11.753517122774484</c:v>
                </c:pt>
                <c:pt idx="82">
                  <c:v>-11.109443497317589</c:v>
                </c:pt>
                <c:pt idx="83">
                  <c:v>-10.694006218387504</c:v>
                </c:pt>
                <c:pt idx="84">
                  <c:v>-10.597333044943557</c:v>
                </c:pt>
                <c:pt idx="85">
                  <c:v>-10.861409282698132</c:v>
                </c:pt>
                <c:pt idx="86">
                  <c:v>-11.459503904036881</c:v>
                </c:pt>
                <c:pt idx="87">
                  <c:v>-12.315540061145056</c:v>
                </c:pt>
                <c:pt idx="88">
                  <c:v>-13.343080792218187</c:v>
                </c:pt>
                <c:pt idx="89">
                  <c:v>-14.471977434972176</c:v>
                </c:pt>
                <c:pt idx="90">
                  <c:v>-15.65509554832733</c:v>
                </c:pt>
                <c:pt idx="91">
                  <c:v>-16.864258223881244</c:v>
                </c:pt>
                <c:pt idx="92">
                  <c:v>-18.083933993210252</c:v>
                </c:pt>
                <c:pt idx="93">
                  <c:v>-19.306150561621831</c:v>
                </c:pt>
                <c:pt idx="94">
                  <c:v>-20.527162952060237</c:v>
                </c:pt>
                <c:pt idx="95">
                  <c:v>-21.745473003752558</c:v>
                </c:pt>
                <c:pt idx="96">
                  <c:v>-22.960714362230526</c:v>
                </c:pt>
                <c:pt idx="97">
                  <c:v>-24.173047851477154</c:v>
                </c:pt>
                <c:pt idx="98">
                  <c:v>-25.382844937027258</c:v>
                </c:pt>
                <c:pt idx="99">
                  <c:v>-26.590529309742696</c:v>
                </c:pt>
                <c:pt idx="100">
                  <c:v>-27.796503201275652</c:v>
                </c:pt>
              </c:numCache>
            </c:numRef>
          </c:yVal>
          <c:smooth val="1"/>
        </c:ser>
        <c:dLbls>
          <c:showLegendKey val="0"/>
          <c:showVal val="0"/>
          <c:showCatName val="0"/>
          <c:showSerName val="0"/>
          <c:showPercent val="0"/>
          <c:showBubbleSize val="0"/>
        </c:dLbls>
        <c:axId val="62411136"/>
        <c:axId val="62413056"/>
      </c:scatterChart>
      <c:valAx>
        <c:axId val="62411136"/>
        <c:scaling>
          <c:logBase val="10"/>
          <c:orientation val="minMax"/>
          <c:max val="10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Freq (Hz)</a:t>
                </a:r>
              </a:p>
            </c:rich>
          </c:tx>
          <c:layout>
            <c:manualLayout>
              <c:xMode val="edge"/>
              <c:yMode val="edge"/>
              <c:x val="0.42745180381864251"/>
              <c:y val="0.89675763980829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62413056"/>
        <c:crossesAt val="0.1"/>
        <c:crossBetween val="midCat"/>
        <c:majorUnit val="100"/>
        <c:minorUnit val="10"/>
      </c:valAx>
      <c:valAx>
        <c:axId val="62413056"/>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Gain (dB)</a:t>
                </a:r>
              </a:p>
            </c:rich>
          </c:tx>
          <c:layout>
            <c:manualLayout>
              <c:xMode val="edge"/>
              <c:yMode val="edge"/>
              <c:x val="3.137254901960785E-2"/>
              <c:y val="0.457228377426273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62411136"/>
        <c:crossesAt val="0.1"/>
        <c:crossBetween val="midCat"/>
        <c:majorUnit val="10"/>
        <c:min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horizontalDpi="200" verticalDpi="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A Phase</a:t>
            </a:r>
          </a:p>
        </c:rich>
      </c:tx>
      <c:layout>
        <c:manualLayout>
          <c:xMode val="edge"/>
          <c:yMode val="edge"/>
          <c:x val="0.36666728423652922"/>
          <c:y val="3.5087719298245612E-2"/>
        </c:manualLayout>
      </c:layout>
      <c:overlay val="0"/>
      <c:spPr>
        <a:noFill/>
        <a:ln w="25400">
          <a:noFill/>
        </a:ln>
      </c:spPr>
    </c:title>
    <c:autoTitleDeleted val="0"/>
    <c:plotArea>
      <c:layout>
        <c:manualLayout>
          <c:layoutTarget val="inner"/>
          <c:xMode val="edge"/>
          <c:yMode val="edge"/>
          <c:x val="0.15490225739556107"/>
          <c:y val="0.18713503727795291"/>
          <c:w val="0.67843267163119059"/>
          <c:h val="0.67836451013258114"/>
        </c:manualLayout>
      </c:layout>
      <c:scatterChart>
        <c:scatterStyle val="smoothMarker"/>
        <c:varyColors val="0"/>
        <c:ser>
          <c:idx val="0"/>
          <c:order val="0"/>
          <c:tx>
            <c:v>T Phase</c:v>
          </c:tx>
          <c:marker>
            <c:symbol val="none"/>
          </c:marker>
          <c:xVal>
            <c:numRef>
              <c:f>Graph_data!$B$7:$B$107</c:f>
              <c:numCache>
                <c:formatCode>General</c:formatCode>
                <c:ptCount val="101"/>
                <c:pt idx="0">
                  <c:v>10</c:v>
                </c:pt>
                <c:pt idx="1">
                  <c:v>11.481536214968829</c:v>
                </c:pt>
                <c:pt idx="2">
                  <c:v>13.182567385564072</c:v>
                </c:pt>
                <c:pt idx="3">
                  <c:v>15.135612484362081</c:v>
                </c:pt>
                <c:pt idx="4">
                  <c:v>17.378008287493756</c:v>
                </c:pt>
                <c:pt idx="5">
                  <c:v>19.952623149688797</c:v>
                </c:pt>
                <c:pt idx="6">
                  <c:v>22.908676527677731</c:v>
                </c:pt>
                <c:pt idx="7">
                  <c:v>26.302679918953821</c:v>
                </c:pt>
                <c:pt idx="8">
                  <c:v>30.199517204020164</c:v>
                </c:pt>
                <c:pt idx="9">
                  <c:v>34.673685045253173</c:v>
                </c:pt>
                <c:pt idx="10">
                  <c:v>39.810717055349727</c:v>
                </c:pt>
                <c:pt idx="11">
                  <c:v>45.708818961487495</c:v>
                </c:pt>
                <c:pt idx="12">
                  <c:v>52.480746024977265</c:v>
                </c:pt>
                <c:pt idx="13">
                  <c:v>60.255958607435794</c:v>
                </c:pt>
                <c:pt idx="14">
                  <c:v>69.183097091893671</c:v>
                </c:pt>
                <c:pt idx="15">
                  <c:v>79.43282347242814</c:v>
                </c:pt>
                <c:pt idx="16">
                  <c:v>91.201083935590987</c:v>
                </c:pt>
                <c:pt idx="17">
                  <c:v>104.71285480508999</c:v>
                </c:pt>
                <c:pt idx="18">
                  <c:v>120.22644346174133</c:v>
                </c:pt>
                <c:pt idx="19">
                  <c:v>138.03842646028852</c:v>
                </c:pt>
                <c:pt idx="20">
                  <c:v>158.48931924611136</c:v>
                </c:pt>
                <c:pt idx="21">
                  <c:v>181.97008586099841</c:v>
                </c:pt>
                <c:pt idx="22">
                  <c:v>208.92961308540393</c:v>
                </c:pt>
                <c:pt idx="23">
                  <c:v>239.88329190194906</c:v>
                </c:pt>
                <c:pt idx="24">
                  <c:v>275.42287033381666</c:v>
                </c:pt>
                <c:pt idx="25">
                  <c:v>316.22776601683802</c:v>
                </c:pt>
                <c:pt idx="26">
                  <c:v>363.07805477010157</c:v>
                </c:pt>
                <c:pt idx="27">
                  <c:v>416.86938347033549</c:v>
                </c:pt>
                <c:pt idx="28">
                  <c:v>478.63009232263857</c:v>
                </c:pt>
                <c:pt idx="29">
                  <c:v>549.54087385762466</c:v>
                </c:pt>
                <c:pt idx="30">
                  <c:v>630.95734448019311</c:v>
                </c:pt>
                <c:pt idx="31">
                  <c:v>724.43596007499013</c:v>
                </c:pt>
                <c:pt idx="32">
                  <c:v>831.76377110267129</c:v>
                </c:pt>
                <c:pt idx="33">
                  <c:v>954.99258602143652</c:v>
                </c:pt>
                <c:pt idx="34">
                  <c:v>1096.4781961431861</c:v>
                </c:pt>
                <c:pt idx="35">
                  <c:v>1258.9254117941678</c:v>
                </c:pt>
                <c:pt idx="36">
                  <c:v>1445.4397707459284</c:v>
                </c:pt>
                <c:pt idx="37">
                  <c:v>1659.5869074375607</c:v>
                </c:pt>
                <c:pt idx="38">
                  <c:v>1905.460717963248</c:v>
                </c:pt>
                <c:pt idx="39">
                  <c:v>2187.7616239495524</c:v>
                </c:pt>
                <c:pt idx="40">
                  <c:v>2511.8864315095807</c:v>
                </c:pt>
                <c:pt idx="41">
                  <c:v>2884.0315031266073</c:v>
                </c:pt>
                <c:pt idx="42">
                  <c:v>3311.3112148259138</c:v>
                </c:pt>
                <c:pt idx="43">
                  <c:v>3801.8939632056163</c:v>
                </c:pt>
                <c:pt idx="44">
                  <c:v>4365.1583224016586</c:v>
                </c:pt>
                <c:pt idx="45">
                  <c:v>5011.8723362727233</c:v>
                </c:pt>
                <c:pt idx="46">
                  <c:v>5754.3993733715706</c:v>
                </c:pt>
                <c:pt idx="47">
                  <c:v>6606.9344800759645</c:v>
                </c:pt>
                <c:pt idx="48">
                  <c:v>7585.7757502918375</c:v>
                </c:pt>
                <c:pt idx="49">
                  <c:v>8709.6358995608098</c:v>
                </c:pt>
                <c:pt idx="50">
                  <c:v>10000</c:v>
                </c:pt>
                <c:pt idx="51">
                  <c:v>11481.536214968839</c:v>
                </c:pt>
                <c:pt idx="52">
                  <c:v>13182.567385564089</c:v>
                </c:pt>
                <c:pt idx="53">
                  <c:v>15135.61248436208</c:v>
                </c:pt>
                <c:pt idx="54">
                  <c:v>17378.008287493758</c:v>
                </c:pt>
                <c:pt idx="55">
                  <c:v>19952.623149688803</c:v>
                </c:pt>
                <c:pt idx="56">
                  <c:v>22908.676527677748</c:v>
                </c:pt>
                <c:pt idx="57">
                  <c:v>26302.679918953821</c:v>
                </c:pt>
                <c:pt idx="58">
                  <c:v>30199.517204020176</c:v>
                </c:pt>
                <c:pt idx="59">
                  <c:v>34673.685045253224</c:v>
                </c:pt>
                <c:pt idx="60">
                  <c:v>39810.717055349698</c:v>
                </c:pt>
                <c:pt idx="61">
                  <c:v>45708.81896148753</c:v>
                </c:pt>
                <c:pt idx="62">
                  <c:v>52480.746024977263</c:v>
                </c:pt>
                <c:pt idx="63">
                  <c:v>60255.958607435852</c:v>
                </c:pt>
                <c:pt idx="64">
                  <c:v>69183.097091893695</c:v>
                </c:pt>
                <c:pt idx="65">
                  <c:v>79432.82347242815</c:v>
                </c:pt>
                <c:pt idx="66">
                  <c:v>91201.083935591087</c:v>
                </c:pt>
                <c:pt idx="67">
                  <c:v>104712.85480509003</c:v>
                </c:pt>
                <c:pt idx="68">
                  <c:v>120226.44346174151</c:v>
                </c:pt>
                <c:pt idx="69">
                  <c:v>138038.42646028841</c:v>
                </c:pt>
                <c:pt idx="70">
                  <c:v>158489.31924611147</c:v>
                </c:pt>
                <c:pt idx="71">
                  <c:v>181970.08586099837</c:v>
                </c:pt>
                <c:pt idx="72">
                  <c:v>208929.61308540424</c:v>
                </c:pt>
                <c:pt idx="73">
                  <c:v>239883.29190194924</c:v>
                </c:pt>
                <c:pt idx="74">
                  <c:v>275422.87033381674</c:v>
                </c:pt>
                <c:pt idx="75">
                  <c:v>316227.76601683837</c:v>
                </c:pt>
                <c:pt idx="76">
                  <c:v>363078.05477010168</c:v>
                </c:pt>
                <c:pt idx="77">
                  <c:v>416869.38347033627</c:v>
                </c:pt>
                <c:pt idx="78">
                  <c:v>478630.09232263826</c:v>
                </c:pt>
                <c:pt idx="79">
                  <c:v>549540.87385762506</c:v>
                </c:pt>
                <c:pt idx="80">
                  <c:v>630957.34448019345</c:v>
                </c:pt>
                <c:pt idx="81">
                  <c:v>724435.96007498982</c:v>
                </c:pt>
                <c:pt idx="82">
                  <c:v>831763.77110267174</c:v>
                </c:pt>
                <c:pt idx="83">
                  <c:v>954992.58602143626</c:v>
                </c:pt>
                <c:pt idx="84">
                  <c:v>1096478.1961431869</c:v>
                </c:pt>
                <c:pt idx="85">
                  <c:v>1258925.4117941684</c:v>
                </c:pt>
                <c:pt idx="86">
                  <c:v>1445439.7707459307</c:v>
                </c:pt>
                <c:pt idx="87">
                  <c:v>1659586.9074375604</c:v>
                </c:pt>
                <c:pt idx="88">
                  <c:v>1905460.7179632459</c:v>
                </c:pt>
                <c:pt idx="89">
                  <c:v>2187761.6239495538</c:v>
                </c:pt>
                <c:pt idx="90">
                  <c:v>2511886.43150958</c:v>
                </c:pt>
                <c:pt idx="91">
                  <c:v>2884031.5031266091</c:v>
                </c:pt>
                <c:pt idx="92">
                  <c:v>3311311.2148259124</c:v>
                </c:pt>
                <c:pt idx="93">
                  <c:v>3801893.9632056188</c:v>
                </c:pt>
                <c:pt idx="94">
                  <c:v>4365158.3224016652</c:v>
                </c:pt>
                <c:pt idx="95">
                  <c:v>5011872.3362727351</c:v>
                </c:pt>
                <c:pt idx="96">
                  <c:v>5754399.3733715694</c:v>
                </c:pt>
                <c:pt idx="97">
                  <c:v>6606934.4800759563</c:v>
                </c:pt>
                <c:pt idx="98">
                  <c:v>7585775.750291842</c:v>
                </c:pt>
                <c:pt idx="99">
                  <c:v>8709635.8995608073</c:v>
                </c:pt>
                <c:pt idx="100">
                  <c:v>10000000</c:v>
                </c:pt>
              </c:numCache>
            </c:numRef>
          </c:xVal>
          <c:yVal>
            <c:numRef>
              <c:f>Graph_data!$L$7:$L$107</c:f>
              <c:numCache>
                <c:formatCode>General</c:formatCode>
                <c:ptCount val="101"/>
                <c:pt idx="0">
                  <c:v>-0.33790017189796068</c:v>
                </c:pt>
                <c:pt idx="1">
                  <c:v>-0.38795986832771251</c:v>
                </c:pt>
                <c:pt idx="2">
                  <c:v>-0.44543535173992577</c:v>
                </c:pt>
                <c:pt idx="3">
                  <c:v>-0.51142491868568196</c:v>
                </c:pt>
                <c:pt idx="4">
                  <c:v>-0.58718938764585127</c:v>
                </c:pt>
                <c:pt idx="5">
                  <c:v>-0.67417607729568252</c:v>
                </c:pt>
                <c:pt idx="6">
                  <c:v>-0.77404628593972613</c:v>
                </c:pt>
                <c:pt idx="7">
                  <c:v>-0.88870676451707642</c:v>
                </c:pt>
                <c:pt idx="8">
                  <c:v>-1.0203457350480236</c:v>
                </c:pt>
                <c:pt idx="9">
                  <c:v>-1.1714740677848854</c:v>
                </c:pt>
                <c:pt idx="10">
                  <c:v>-1.3449722904201873</c:v>
                </c:pt>
                <c:pt idx="11">
                  <c:v>-1.544144156026513</c:v>
                </c:pt>
                <c:pt idx="12">
                  <c:v>-1.7727775340304592</c:v>
                </c:pt>
                <c:pt idx="13">
                  <c:v>-2.0352133962708709</c:v>
                </c:pt>
                <c:pt idx="14">
                  <c:v>-2.3364236259283406</c:v>
                </c:pt>
                <c:pt idx="15">
                  <c:v>-2.6820982468347623</c:v>
                </c:pt>
                <c:pt idx="16">
                  <c:v>-3.0787424028148509</c:v>
                </c:pt>
                <c:pt idx="17">
                  <c:v>-3.5337829340777485</c:v>
                </c:pt>
                <c:pt idx="18">
                  <c:v>-4.0556835862708907</c:v>
                </c:pt>
                <c:pt idx="19">
                  <c:v>-4.6540665820165259</c:v>
                </c:pt>
                <c:pt idx="20">
                  <c:v>-5.3398362489201272</c:v>
                </c:pt>
                <c:pt idx="21">
                  <c:v>-6.1252973062251499</c:v>
                </c:pt>
                <c:pt idx="22">
                  <c:v>-7.0242558318560864</c:v>
                </c:pt>
                <c:pt idx="23">
                  <c:v>-8.0520843243238094</c:v>
                </c:pt>
                <c:pt idx="24">
                  <c:v>-9.225723043238407</c:v>
                </c:pt>
                <c:pt idx="25">
                  <c:v>-10.563577450013923</c:v>
                </c:pt>
                <c:pt idx="26">
                  <c:v>-12.085255995426337</c:v>
                </c:pt>
                <c:pt idx="27">
                  <c:v>-13.81107471994766</c:v>
                </c:pt>
                <c:pt idx="28">
                  <c:v>-15.761238371869764</c:v>
                </c:pt>
                <c:pt idx="29">
                  <c:v>-17.954599088162258</c:v>
                </c:pt>
                <c:pt idx="30">
                  <c:v>-20.406905831488029</c:v>
                </c:pt>
                <c:pt idx="31">
                  <c:v>-23.128509647505094</c:v>
                </c:pt>
                <c:pt idx="32">
                  <c:v>-26.121603027896196</c:v>
                </c:pt>
                <c:pt idx="33">
                  <c:v>-29.377258862215452</c:v>
                </c:pt>
                <c:pt idx="34">
                  <c:v>-32.872777002441012</c:v>
                </c:pt>
                <c:pt idx="35">
                  <c:v>-36.570068782695557</c:v>
                </c:pt>
                <c:pt idx="36">
                  <c:v>-40.415874986512613</c:v>
                </c:pt>
                <c:pt idx="37">
                  <c:v>-44.344374348798652</c:v>
                </c:pt>
                <c:pt idx="38">
                  <c:v>-48.28215673151292</c:v>
                </c:pt>
                <c:pt idx="39">
                  <c:v>-52.154777934530543</c:v>
                </c:pt>
                <c:pt idx="40">
                  <c:v>-55.89353253803575</c:v>
                </c:pt>
                <c:pt idx="41">
                  <c:v>-59.440996960872681</c:v>
                </c:pt>
                <c:pt idx="42">
                  <c:v>-62.754356150046611</c:v>
                </c:pt>
                <c:pt idx="43">
                  <c:v>-65.806273260484559</c:v>
                </c:pt>
                <c:pt idx="44">
                  <c:v>-68.583722954536057</c:v>
                </c:pt>
                <c:pt idx="45">
                  <c:v>-71.085551031573928</c:v>
                </c:pt>
                <c:pt idx="46">
                  <c:v>-73.319533019808162</c:v>
                </c:pt>
                <c:pt idx="47">
                  <c:v>-75.299511573492452</c:v>
                </c:pt>
                <c:pt idx="48">
                  <c:v>-77.042945255279207</c:v>
                </c:pt>
                <c:pt idx="49">
                  <c:v>-78.568994331362674</c:v>
                </c:pt>
                <c:pt idx="50">
                  <c:v>-79.897135408223249</c:v>
                </c:pt>
                <c:pt idx="51">
                  <c:v>-81.046229893855198</c:v>
                </c:pt>
                <c:pt idx="52">
                  <c:v>-82.033950786882528</c:v>
                </c:pt>
                <c:pt idx="53">
                  <c:v>-82.876477990838652</c:v>
                </c:pt>
                <c:pt idx="54">
                  <c:v>-83.58838986218025</c:v>
                </c:pt>
                <c:pt idx="55">
                  <c:v>-84.182699743654524</c:v>
                </c:pt>
                <c:pt idx="56">
                  <c:v>-84.671006962855373</c:v>
                </c:pt>
                <c:pt idx="57">
                  <c:v>-85.063750991740775</c:v>
                </c:pt>
                <c:pt idx="58">
                  <c:v>-85.370575211393273</c:v>
                </c:pt>
                <c:pt idx="59">
                  <c:v>-85.600823242879287</c:v>
                </c:pt>
                <c:pt idx="60">
                  <c:v>-85.76420558898414</c:v>
                </c:pt>
                <c:pt idx="61">
                  <c:v>-85.871685096068035</c:v>
                </c:pt>
                <c:pt idx="62">
                  <c:v>-85.93663112030103</c:v>
                </c:pt>
                <c:pt idx="63">
                  <c:v>-85.976274510873523</c:v>
                </c:pt>
                <c:pt idx="64">
                  <c:v>-86.013444198679764</c:v>
                </c:pt>
                <c:pt idx="65">
                  <c:v>-86.078465438657901</c:v>
                </c:pt>
                <c:pt idx="66">
                  <c:v>-86.210942650442973</c:v>
                </c:pt>
                <c:pt idx="67">
                  <c:v>-86.460958560730361</c:v>
                </c:pt>
                <c:pt idx="68">
                  <c:v>-86.889072418103439</c:v>
                </c:pt>
                <c:pt idx="69">
                  <c:v>-87.564531758745801</c:v>
                </c:pt>
                <c:pt idx="70">
                  <c:v>-88.561477005370435</c:v>
                </c:pt>
                <c:pt idx="71">
                  <c:v>-89.953659132180405</c:v>
                </c:pt>
                <c:pt idx="72">
                  <c:v>-91.809101244906984</c:v>
                </c:pt>
                <c:pt idx="73">
                  <c:v>-94.186754971799303</c:v>
                </c:pt>
                <c:pt idx="74">
                  <c:v>-97.137064576115307</c:v>
                </c:pt>
                <c:pt idx="75">
                  <c:v>-100.70735255381774</c:v>
                </c:pt>
                <c:pt idx="76">
                  <c:v>-104.95148240019323</c:v>
                </c:pt>
                <c:pt idx="77">
                  <c:v>-109.94191341321161</c:v>
                </c:pt>
                <c:pt idx="78">
                  <c:v>-115.7811634053576</c:v>
                </c:pt>
                <c:pt idx="79">
                  <c:v>-122.6080432217028</c:v>
                </c:pt>
                <c:pt idx="80">
                  <c:v>-130.59021747458348</c:v>
                </c:pt>
                <c:pt idx="81">
                  <c:v>-139.88779627045426</c:v>
                </c:pt>
                <c:pt idx="82">
                  <c:v>-150.56815976684987</c:v>
                </c:pt>
                <c:pt idx="83">
                  <c:v>-162.47210122125892</c:v>
                </c:pt>
                <c:pt idx="84">
                  <c:v>-175.1041075228265</c:v>
                </c:pt>
                <c:pt idx="85">
                  <c:v>-187.69222048914258</c:v>
                </c:pt>
                <c:pt idx="86">
                  <c:v>-199.45918956168629</c:v>
                </c:pt>
                <c:pt idx="87">
                  <c:v>-209.90028268618317</c:v>
                </c:pt>
                <c:pt idx="88">
                  <c:v>-218.85463421193344</c:v>
                </c:pt>
                <c:pt idx="89">
                  <c:v>-226.40114481878641</c:v>
                </c:pt>
                <c:pt idx="90">
                  <c:v>-232.72447906167884</c:v>
                </c:pt>
                <c:pt idx="91">
                  <c:v>-238.02787340560013</c:v>
                </c:pt>
                <c:pt idx="92">
                  <c:v>-242.49426150441354</c:v>
                </c:pt>
                <c:pt idx="93">
                  <c:v>-246.27539706362671</c:v>
                </c:pt>
                <c:pt idx="94">
                  <c:v>-249.49303223264013</c:v>
                </c:pt>
                <c:pt idx="95">
                  <c:v>-252.24387910293598</c:v>
                </c:pt>
                <c:pt idx="96">
                  <c:v>-254.60491768347615</c:v>
                </c:pt>
                <c:pt idx="97">
                  <c:v>-256.63791761238701</c:v>
                </c:pt>
                <c:pt idx="98">
                  <c:v>-258.39297303720036</c:v>
                </c:pt>
                <c:pt idx="99">
                  <c:v>-259.91116674656701</c:v>
                </c:pt>
                <c:pt idx="100">
                  <c:v>-261.22655128722693</c:v>
                </c:pt>
              </c:numCache>
            </c:numRef>
          </c:yVal>
          <c:smooth val="1"/>
        </c:ser>
        <c:dLbls>
          <c:showLegendKey val="0"/>
          <c:showVal val="0"/>
          <c:showCatName val="0"/>
          <c:showSerName val="0"/>
          <c:showPercent val="0"/>
          <c:showBubbleSize val="0"/>
        </c:dLbls>
        <c:axId val="101606912"/>
        <c:axId val="101885824"/>
      </c:scatterChart>
      <c:valAx>
        <c:axId val="101606912"/>
        <c:scaling>
          <c:logBase val="10"/>
          <c:orientation val="minMax"/>
          <c:max val="1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Freq (Hz)</a:t>
                </a:r>
              </a:p>
            </c:rich>
          </c:tx>
          <c:layout>
            <c:manualLayout>
              <c:xMode val="edge"/>
              <c:yMode val="edge"/>
              <c:x val="0.44313807832844432"/>
              <c:y val="0.894739297938634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01885824"/>
        <c:crosses val="autoZero"/>
        <c:crossBetween val="midCat"/>
        <c:majorUnit val="100"/>
        <c:minorUnit val="10"/>
      </c:valAx>
      <c:valAx>
        <c:axId val="10188582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Phase (degrees)</a:t>
                </a:r>
              </a:p>
            </c:rich>
          </c:tx>
          <c:layout>
            <c:manualLayout>
              <c:xMode val="edge"/>
              <c:yMode val="edge"/>
              <c:x val="3.333333333333334E-2"/>
              <c:y val="0.385966140197388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01606912"/>
        <c:crossesAt val="0.1"/>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B Gain</a:t>
            </a:r>
          </a:p>
        </c:rich>
      </c:tx>
      <c:layout>
        <c:manualLayout>
          <c:xMode val="edge"/>
          <c:yMode val="edge"/>
          <c:x val="0.37451042149143132"/>
          <c:y val="3.5398230088495596E-2"/>
        </c:manualLayout>
      </c:layout>
      <c:overlay val="0"/>
      <c:spPr>
        <a:noFill/>
        <a:ln w="25400">
          <a:noFill/>
        </a:ln>
      </c:spPr>
    </c:title>
    <c:autoTitleDeleted val="0"/>
    <c:plotArea>
      <c:layout>
        <c:manualLayout>
          <c:layoutTarget val="inner"/>
          <c:xMode val="edge"/>
          <c:yMode val="edge"/>
          <c:x val="0.12352964830278856"/>
          <c:y val="0.20354040935082968"/>
          <c:w val="0.70980528072395976"/>
          <c:h val="0.66371872614401073"/>
        </c:manualLayout>
      </c:layout>
      <c:scatterChart>
        <c:scatterStyle val="smoothMarker"/>
        <c:varyColors val="0"/>
        <c:ser>
          <c:idx val="0"/>
          <c:order val="0"/>
          <c:tx>
            <c:v>B Gain</c:v>
          </c:tx>
          <c:marker>
            <c:symbol val="none"/>
          </c:marker>
          <c:xVal>
            <c:numRef>
              <c:f>Graph_data!$B$7:$B$107</c:f>
              <c:numCache>
                <c:formatCode>General</c:formatCode>
                <c:ptCount val="101"/>
                <c:pt idx="0">
                  <c:v>10</c:v>
                </c:pt>
                <c:pt idx="1">
                  <c:v>11.481536214968829</c:v>
                </c:pt>
                <c:pt idx="2">
                  <c:v>13.182567385564072</c:v>
                </c:pt>
                <c:pt idx="3">
                  <c:v>15.135612484362081</c:v>
                </c:pt>
                <c:pt idx="4">
                  <c:v>17.378008287493756</c:v>
                </c:pt>
                <c:pt idx="5">
                  <c:v>19.952623149688797</c:v>
                </c:pt>
                <c:pt idx="6">
                  <c:v>22.908676527677731</c:v>
                </c:pt>
                <c:pt idx="7">
                  <c:v>26.302679918953821</c:v>
                </c:pt>
                <c:pt idx="8">
                  <c:v>30.199517204020164</c:v>
                </c:pt>
                <c:pt idx="9">
                  <c:v>34.673685045253173</c:v>
                </c:pt>
                <c:pt idx="10">
                  <c:v>39.810717055349727</c:v>
                </c:pt>
                <c:pt idx="11">
                  <c:v>45.708818961487495</c:v>
                </c:pt>
                <c:pt idx="12">
                  <c:v>52.480746024977265</c:v>
                </c:pt>
                <c:pt idx="13">
                  <c:v>60.255958607435794</c:v>
                </c:pt>
                <c:pt idx="14">
                  <c:v>69.183097091893671</c:v>
                </c:pt>
                <c:pt idx="15">
                  <c:v>79.43282347242814</c:v>
                </c:pt>
                <c:pt idx="16">
                  <c:v>91.201083935590987</c:v>
                </c:pt>
                <c:pt idx="17">
                  <c:v>104.71285480508999</c:v>
                </c:pt>
                <c:pt idx="18">
                  <c:v>120.22644346174133</c:v>
                </c:pt>
                <c:pt idx="19">
                  <c:v>138.03842646028852</c:v>
                </c:pt>
                <c:pt idx="20">
                  <c:v>158.48931924611136</c:v>
                </c:pt>
                <c:pt idx="21">
                  <c:v>181.97008586099841</c:v>
                </c:pt>
                <c:pt idx="22">
                  <c:v>208.92961308540393</c:v>
                </c:pt>
                <c:pt idx="23">
                  <c:v>239.88329190194906</c:v>
                </c:pt>
                <c:pt idx="24">
                  <c:v>275.42287033381666</c:v>
                </c:pt>
                <c:pt idx="25">
                  <c:v>316.22776601683802</c:v>
                </c:pt>
                <c:pt idx="26">
                  <c:v>363.07805477010157</c:v>
                </c:pt>
                <c:pt idx="27">
                  <c:v>416.86938347033549</c:v>
                </c:pt>
                <c:pt idx="28">
                  <c:v>478.63009232263857</c:v>
                </c:pt>
                <c:pt idx="29">
                  <c:v>549.54087385762466</c:v>
                </c:pt>
                <c:pt idx="30">
                  <c:v>630.95734448019311</c:v>
                </c:pt>
                <c:pt idx="31">
                  <c:v>724.43596007499013</c:v>
                </c:pt>
                <c:pt idx="32">
                  <c:v>831.76377110267129</c:v>
                </c:pt>
                <c:pt idx="33">
                  <c:v>954.99258602143652</c:v>
                </c:pt>
                <c:pt idx="34">
                  <c:v>1096.4781961431861</c:v>
                </c:pt>
                <c:pt idx="35">
                  <c:v>1258.9254117941678</c:v>
                </c:pt>
                <c:pt idx="36">
                  <c:v>1445.4397707459284</c:v>
                </c:pt>
                <c:pt idx="37">
                  <c:v>1659.5869074375607</c:v>
                </c:pt>
                <c:pt idx="38">
                  <c:v>1905.460717963248</c:v>
                </c:pt>
                <c:pt idx="39">
                  <c:v>2187.7616239495524</c:v>
                </c:pt>
                <c:pt idx="40">
                  <c:v>2511.8864315095807</c:v>
                </c:pt>
                <c:pt idx="41">
                  <c:v>2884.0315031266073</c:v>
                </c:pt>
                <c:pt idx="42">
                  <c:v>3311.3112148259138</c:v>
                </c:pt>
                <c:pt idx="43">
                  <c:v>3801.8939632056163</c:v>
                </c:pt>
                <c:pt idx="44">
                  <c:v>4365.1583224016586</c:v>
                </c:pt>
                <c:pt idx="45">
                  <c:v>5011.8723362727233</c:v>
                </c:pt>
                <c:pt idx="46">
                  <c:v>5754.3993733715706</c:v>
                </c:pt>
                <c:pt idx="47">
                  <c:v>6606.9344800759645</c:v>
                </c:pt>
                <c:pt idx="48">
                  <c:v>7585.7757502918375</c:v>
                </c:pt>
                <c:pt idx="49">
                  <c:v>8709.6358995608098</c:v>
                </c:pt>
                <c:pt idx="50">
                  <c:v>10000</c:v>
                </c:pt>
                <c:pt idx="51">
                  <c:v>11481.536214968839</c:v>
                </c:pt>
                <c:pt idx="52">
                  <c:v>13182.567385564089</c:v>
                </c:pt>
                <c:pt idx="53">
                  <c:v>15135.61248436208</c:v>
                </c:pt>
                <c:pt idx="54">
                  <c:v>17378.008287493758</c:v>
                </c:pt>
                <c:pt idx="55">
                  <c:v>19952.623149688803</c:v>
                </c:pt>
                <c:pt idx="56">
                  <c:v>22908.676527677748</c:v>
                </c:pt>
                <c:pt idx="57">
                  <c:v>26302.679918953821</c:v>
                </c:pt>
                <c:pt idx="58">
                  <c:v>30199.517204020176</c:v>
                </c:pt>
                <c:pt idx="59">
                  <c:v>34673.685045253224</c:v>
                </c:pt>
                <c:pt idx="60">
                  <c:v>39810.717055349698</c:v>
                </c:pt>
                <c:pt idx="61">
                  <c:v>45708.81896148753</c:v>
                </c:pt>
                <c:pt idx="62">
                  <c:v>52480.746024977263</c:v>
                </c:pt>
                <c:pt idx="63">
                  <c:v>60255.958607435852</c:v>
                </c:pt>
                <c:pt idx="64">
                  <c:v>69183.097091893695</c:v>
                </c:pt>
                <c:pt idx="65">
                  <c:v>79432.82347242815</c:v>
                </c:pt>
                <c:pt idx="66">
                  <c:v>91201.083935591087</c:v>
                </c:pt>
                <c:pt idx="67">
                  <c:v>104712.85480509003</c:v>
                </c:pt>
                <c:pt idx="68">
                  <c:v>120226.44346174151</c:v>
                </c:pt>
                <c:pt idx="69">
                  <c:v>138038.42646028841</c:v>
                </c:pt>
                <c:pt idx="70">
                  <c:v>158489.31924611147</c:v>
                </c:pt>
                <c:pt idx="71">
                  <c:v>181970.08586099837</c:v>
                </c:pt>
                <c:pt idx="72">
                  <c:v>208929.61308540424</c:v>
                </c:pt>
                <c:pt idx="73">
                  <c:v>239883.29190194924</c:v>
                </c:pt>
                <c:pt idx="74">
                  <c:v>275422.87033381674</c:v>
                </c:pt>
                <c:pt idx="75">
                  <c:v>316227.76601683837</c:v>
                </c:pt>
                <c:pt idx="76">
                  <c:v>363078.05477010168</c:v>
                </c:pt>
                <c:pt idx="77">
                  <c:v>416869.38347033627</c:v>
                </c:pt>
                <c:pt idx="78">
                  <c:v>478630.09232263826</c:v>
                </c:pt>
                <c:pt idx="79">
                  <c:v>549540.87385762506</c:v>
                </c:pt>
                <c:pt idx="80">
                  <c:v>630957.34448019345</c:v>
                </c:pt>
                <c:pt idx="81">
                  <c:v>724435.96007498982</c:v>
                </c:pt>
                <c:pt idx="82">
                  <c:v>831763.77110267174</c:v>
                </c:pt>
                <c:pt idx="83">
                  <c:v>954992.58602143626</c:v>
                </c:pt>
                <c:pt idx="84">
                  <c:v>1096478.1961431869</c:v>
                </c:pt>
                <c:pt idx="85">
                  <c:v>1258925.4117941684</c:v>
                </c:pt>
                <c:pt idx="86">
                  <c:v>1445439.7707459307</c:v>
                </c:pt>
                <c:pt idx="87">
                  <c:v>1659586.9074375604</c:v>
                </c:pt>
                <c:pt idx="88">
                  <c:v>1905460.7179632459</c:v>
                </c:pt>
                <c:pt idx="89">
                  <c:v>2187761.6239495538</c:v>
                </c:pt>
                <c:pt idx="90">
                  <c:v>2511886.43150958</c:v>
                </c:pt>
                <c:pt idx="91">
                  <c:v>2884031.5031266091</c:v>
                </c:pt>
                <c:pt idx="92">
                  <c:v>3311311.2148259124</c:v>
                </c:pt>
                <c:pt idx="93">
                  <c:v>3801893.9632056188</c:v>
                </c:pt>
                <c:pt idx="94">
                  <c:v>4365158.3224016652</c:v>
                </c:pt>
                <c:pt idx="95">
                  <c:v>5011872.3362727351</c:v>
                </c:pt>
                <c:pt idx="96">
                  <c:v>5754399.3733715694</c:v>
                </c:pt>
                <c:pt idx="97">
                  <c:v>6606934.4800759563</c:v>
                </c:pt>
                <c:pt idx="98">
                  <c:v>7585775.750291842</c:v>
                </c:pt>
                <c:pt idx="99">
                  <c:v>8709635.8995608073</c:v>
                </c:pt>
                <c:pt idx="100">
                  <c:v>10000000</c:v>
                </c:pt>
              </c:numCache>
            </c:numRef>
          </c:xVal>
          <c:yVal>
            <c:numRef>
              <c:f>Graph_data!$S$7:$S$107</c:f>
              <c:numCache>
                <c:formatCode>General</c:formatCode>
                <c:ptCount val="101"/>
                <c:pt idx="0">
                  <c:v>67.793237346841664</c:v>
                </c:pt>
                <c:pt idx="1">
                  <c:v>66.935968552220416</c:v>
                </c:pt>
                <c:pt idx="2">
                  <c:v>66.015283366137282</c:v>
                </c:pt>
                <c:pt idx="3">
                  <c:v>65.039833860322659</c:v>
                </c:pt>
                <c:pt idx="4">
                  <c:v>64.018269534841579</c:v>
                </c:pt>
                <c:pt idx="5">
                  <c:v>62.958692183558256</c:v>
                </c:pt>
                <c:pt idx="6">
                  <c:v>61.868327138232182</c:v>
                </c:pt>
                <c:pt idx="7">
                  <c:v>60.753380375470947</c:v>
                </c:pt>
                <c:pt idx="8">
                  <c:v>59.619030217143532</c:v>
                </c:pt>
                <c:pt idx="9">
                  <c:v>58.469502149844963</c:v>
                </c:pt>
                <c:pt idx="10">
                  <c:v>57.308185442039957</c:v>
                </c:pt>
                <c:pt idx="11">
                  <c:v>56.137763023090976</c:v>
                </c:pt>
                <c:pt idx="12">
                  <c:v>54.960337362857885</c:v>
                </c:pt>
                <c:pt idx="13">
                  <c:v>53.777543426700234</c:v>
                </c:pt>
                <c:pt idx="14">
                  <c:v>52.590645235295426</c:v>
                </c:pt>
                <c:pt idx="15">
                  <c:v>51.400615761111283</c:v>
                </c:pt>
                <c:pt idx="16">
                  <c:v>50.208201549842506</c:v>
                </c:pt>
                <c:pt idx="17">
                  <c:v>49.013974147462079</c:v>
                </c:pt>
                <c:pt idx="18">
                  <c:v>47.818370555689981</c:v>
                </c:pt>
                <c:pt idx="19">
                  <c:v>46.621724798592496</c:v>
                </c:pt>
                <c:pt idx="20">
                  <c:v>45.424292421647891</c:v>
                </c:pt>
                <c:pt idx="21">
                  <c:v>44.226269451874636</c:v>
                </c:pt>
                <c:pt idx="22">
                  <c:v>43.027807069488766</c:v>
                </c:pt>
                <c:pt idx="23">
                  <c:v>41.829022998413556</c:v>
                </c:pt>
                <c:pt idx="24">
                  <c:v>40.630010421201959</c:v>
                </c:pt>
                <c:pt idx="25">
                  <c:v>39.430845062943291</c:v>
                </c:pt>
                <c:pt idx="26">
                  <c:v>38.231590964909444</c:v>
                </c:pt>
                <c:pt idx="27">
                  <c:v>37.032305377652847</c:v>
                </c:pt>
                <c:pt idx="28">
                  <c:v>35.833043140945712</c:v>
                </c:pt>
                <c:pt idx="29">
                  <c:v>34.63386088119838</c:v>
                </c:pt>
                <c:pt idx="30">
                  <c:v>33.434821343813894</c:v>
                </c:pt>
                <c:pt idx="31">
                  <c:v>32.235998187576136</c:v>
                </c:pt>
                <c:pt idx="32">
                  <c:v>31.037481601143249</c:v>
                </c:pt>
                <c:pt idx="33">
                  <c:v>29.839385159783724</c:v>
                </c:pt>
                <c:pt idx="34">
                  <c:v>28.641854426542412</c:v>
                </c:pt>
                <c:pt idx="35">
                  <c:v>27.445077919843939</c:v>
                </c:pt>
                <c:pt idx="36">
                  <c:v>26.24930122326635</c:v>
                </c:pt>
                <c:pt idx="37">
                  <c:v>25.054845206221703</c:v>
                </c:pt>
                <c:pt idx="38">
                  <c:v>23.862129557048224</c:v>
                </c:pt>
                <c:pt idx="39">
                  <c:v>22.671703096271965</c:v>
                </c:pt>
                <c:pt idx="40">
                  <c:v>21.484282617730571</c:v>
                </c:pt>
                <c:pt idx="41">
                  <c:v>20.300802254266838</c:v>
                </c:pt>
                <c:pt idx="42">
                  <c:v>19.12247549553183</c:v>
                </c:pt>
                <c:pt idx="43">
                  <c:v>17.950871841666306</c:v>
                </c:pt>
                <c:pt idx="44">
                  <c:v>16.788009397171546</c:v>
                </c:pt>
                <c:pt idx="45">
                  <c:v>15.636463089074935</c:v>
                </c:pt>
                <c:pt idx="46">
                  <c:v>14.499485059137765</c:v>
                </c:pt>
                <c:pt idx="47">
                  <c:v>13.381128425943164</c:v>
                </c:pt>
                <c:pt idx="48">
                  <c:v>12.286357387733171</c:v>
                </c:pt>
                <c:pt idx="49">
                  <c:v>11.22111541343239</c:v>
                </c:pt>
                <c:pt idx="50">
                  <c:v>10.192310325313244</c:v>
                </c:pt>
                <c:pt idx="51">
                  <c:v>9.207664319220946</c:v>
                </c:pt>
                <c:pt idx="52">
                  <c:v>8.2753758686438506</c:v>
                </c:pt>
                <c:pt idx="53">
                  <c:v>7.4035591511424315</c:v>
                </c:pt>
                <c:pt idx="54">
                  <c:v>6.5994731087950296</c:v>
                </c:pt>
                <c:pt idx="55">
                  <c:v>5.8686232881754936</c:v>
                </c:pt>
                <c:pt idx="56">
                  <c:v>5.2138924606456927</c:v>
                </c:pt>
                <c:pt idx="57">
                  <c:v>4.6348916422043231</c:v>
                </c:pt>
                <c:pt idx="58">
                  <c:v>4.127688018065828</c:v>
                </c:pt>
                <c:pt idx="59">
                  <c:v>3.6849619766657855</c:v>
                </c:pt>
                <c:pt idx="60">
                  <c:v>3.296517738671374</c:v>
                </c:pt>
                <c:pt idx="61">
                  <c:v>2.9499838940534544</c:v>
                </c:pt>
                <c:pt idx="62">
                  <c:v>2.6315291141738593</c:v>
                </c:pt>
                <c:pt idx="63">
                  <c:v>2.3264763483793458</c:v>
                </c:pt>
                <c:pt idx="64">
                  <c:v>2.0197871687326905</c:v>
                </c:pt>
                <c:pt idx="65">
                  <c:v>1.6964657269192529</c:v>
                </c:pt>
                <c:pt idx="66">
                  <c:v>1.3419731754664683</c:v>
                </c:pt>
                <c:pt idx="67">
                  <c:v>0.94273822664394524</c:v>
                </c:pt>
                <c:pt idx="68">
                  <c:v>0.48679890780405277</c:v>
                </c:pt>
                <c:pt idx="69">
                  <c:v>-3.5472330697322231E-2</c:v>
                </c:pt>
                <c:pt idx="70">
                  <c:v>-0.63069356748981453</c:v>
                </c:pt>
                <c:pt idx="71">
                  <c:v>-1.3020275676395785</c:v>
                </c:pt>
                <c:pt idx="72">
                  <c:v>-2.0491156421467096</c:v>
                </c:pt>
                <c:pt idx="73">
                  <c:v>-2.8684403218916183</c:v>
                </c:pt>
                <c:pt idx="74">
                  <c:v>-3.7540378904497635</c:v>
                </c:pt>
                <c:pt idx="75">
                  <c:v>-4.6983899906149649</c:v>
                </c:pt>
                <c:pt idx="76">
                  <c:v>-5.6933052027503939</c:v>
                </c:pt>
                <c:pt idx="77">
                  <c:v>-6.730648705457253</c:v>
                </c:pt>
                <c:pt idx="78">
                  <c:v>-7.8028535538021435</c:v>
                </c:pt>
                <c:pt idx="79">
                  <c:v>-8.9032140063895042</c:v>
                </c:pt>
                <c:pt idx="80">
                  <c:v>-10.02600150418419</c:v>
                </c:pt>
                <c:pt idx="81">
                  <c:v>-11.166457433475278</c:v>
                </c:pt>
                <c:pt idx="82">
                  <c:v>-12.32071279991527</c:v>
                </c:pt>
                <c:pt idx="83">
                  <c:v>-13.485673202156732</c:v>
                </c:pt>
                <c:pt idx="84">
                  <c:v>-14.658894701628711</c:v>
                </c:pt>
                <c:pt idx="85">
                  <c:v>-15.838465569660329</c:v>
                </c:pt>
                <c:pt idx="86">
                  <c:v>-17.022901330896257</c:v>
                </c:pt>
                <c:pt idx="87">
                  <c:v>-18.211055712149243</c:v>
                </c:pt>
                <c:pt idx="88">
                  <c:v>-19.402047357532805</c:v>
                </c:pt>
                <c:pt idx="89">
                  <c:v>-20.595200798364296</c:v>
                </c:pt>
                <c:pt idx="90">
                  <c:v>-21.789999633149311</c:v>
                </c:pt>
                <c:pt idx="91">
                  <c:v>-22.986049808269019</c:v>
                </c:pt>
                <c:pt idx="92">
                  <c:v>-24.183051058908514</c:v>
                </c:pt>
                <c:pt idx="93">
                  <c:v>-25.380774833757336</c:v>
                </c:pt>
                <c:pt idx="94">
                  <c:v>-26.57904731020491</c:v>
                </c:pt>
                <c:pt idx="95">
                  <c:v>-27.777736371450771</c:v>
                </c:pt>
                <c:pt idx="96">
                  <c:v>-28.976741647402157</c:v>
                </c:pt>
                <c:pt idx="97">
                  <c:v>-30.175986913546573</c:v>
                </c:pt>
                <c:pt idx="98">
                  <c:v>-31.37541429812876</c:v>
                </c:pt>
                <c:pt idx="99">
                  <c:v>-32.574979872396106</c:v>
                </c:pt>
                <c:pt idx="100">
                  <c:v>-33.774650296550249</c:v>
                </c:pt>
              </c:numCache>
            </c:numRef>
          </c:yVal>
          <c:smooth val="1"/>
        </c:ser>
        <c:dLbls>
          <c:showLegendKey val="0"/>
          <c:showVal val="0"/>
          <c:showCatName val="0"/>
          <c:showSerName val="0"/>
          <c:showPercent val="0"/>
          <c:showBubbleSize val="0"/>
        </c:dLbls>
        <c:axId val="49112960"/>
        <c:axId val="49115136"/>
      </c:scatterChart>
      <c:valAx>
        <c:axId val="49112960"/>
        <c:scaling>
          <c:logBase val="10"/>
          <c:orientation val="minMax"/>
          <c:max val="10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Freq (Hz)</a:t>
                </a:r>
              </a:p>
            </c:rich>
          </c:tx>
          <c:layout>
            <c:manualLayout>
              <c:xMode val="edge"/>
              <c:yMode val="edge"/>
              <c:x val="0.42745180381864273"/>
              <c:y val="0.89675763980829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49115136"/>
        <c:crossesAt val="0.1"/>
        <c:crossBetween val="midCat"/>
        <c:majorUnit val="100"/>
        <c:minorUnit val="10"/>
      </c:valAx>
      <c:valAx>
        <c:axId val="49115136"/>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Gain (dB)</a:t>
                </a:r>
              </a:p>
            </c:rich>
          </c:tx>
          <c:layout>
            <c:manualLayout>
              <c:xMode val="edge"/>
              <c:yMode val="edge"/>
              <c:x val="3.137254901960785E-2"/>
              <c:y val="0.457228377426273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49112960"/>
        <c:crossesAt val="0.1"/>
        <c:crossBetween val="midCat"/>
        <c:majorUnit val="10"/>
        <c:min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orientation="landscape" horizontalDpi="200" verticalDpi="2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B Phase</a:t>
            </a:r>
          </a:p>
        </c:rich>
      </c:tx>
      <c:layout>
        <c:manualLayout>
          <c:xMode val="edge"/>
          <c:yMode val="edge"/>
          <c:x val="0.36666728423652922"/>
          <c:y val="3.5087719298245612E-2"/>
        </c:manualLayout>
      </c:layout>
      <c:overlay val="0"/>
      <c:spPr>
        <a:noFill/>
        <a:ln w="25400">
          <a:noFill/>
        </a:ln>
      </c:spPr>
    </c:title>
    <c:autoTitleDeleted val="0"/>
    <c:plotArea>
      <c:layout>
        <c:manualLayout>
          <c:layoutTarget val="inner"/>
          <c:xMode val="edge"/>
          <c:yMode val="edge"/>
          <c:x val="0.15490225739556118"/>
          <c:y val="0.18713503727795291"/>
          <c:w val="0.67843267163119092"/>
          <c:h val="0.67836451013258148"/>
        </c:manualLayout>
      </c:layout>
      <c:scatterChart>
        <c:scatterStyle val="smoothMarker"/>
        <c:varyColors val="0"/>
        <c:ser>
          <c:idx val="0"/>
          <c:order val="0"/>
          <c:tx>
            <c:v>B Phase</c:v>
          </c:tx>
          <c:marker>
            <c:symbol val="none"/>
          </c:marker>
          <c:xVal>
            <c:numRef>
              <c:f>Graph_data!$B$7:$B$107</c:f>
              <c:numCache>
                <c:formatCode>General</c:formatCode>
                <c:ptCount val="101"/>
                <c:pt idx="0">
                  <c:v>10</c:v>
                </c:pt>
                <c:pt idx="1">
                  <c:v>11.481536214968829</c:v>
                </c:pt>
                <c:pt idx="2">
                  <c:v>13.182567385564072</c:v>
                </c:pt>
                <c:pt idx="3">
                  <c:v>15.135612484362081</c:v>
                </c:pt>
                <c:pt idx="4">
                  <c:v>17.378008287493756</c:v>
                </c:pt>
                <c:pt idx="5">
                  <c:v>19.952623149688797</c:v>
                </c:pt>
                <c:pt idx="6">
                  <c:v>22.908676527677731</c:v>
                </c:pt>
                <c:pt idx="7">
                  <c:v>26.302679918953821</c:v>
                </c:pt>
                <c:pt idx="8">
                  <c:v>30.199517204020164</c:v>
                </c:pt>
                <c:pt idx="9">
                  <c:v>34.673685045253173</c:v>
                </c:pt>
                <c:pt idx="10">
                  <c:v>39.810717055349727</c:v>
                </c:pt>
                <c:pt idx="11">
                  <c:v>45.708818961487495</c:v>
                </c:pt>
                <c:pt idx="12">
                  <c:v>52.480746024977265</c:v>
                </c:pt>
                <c:pt idx="13">
                  <c:v>60.255958607435794</c:v>
                </c:pt>
                <c:pt idx="14">
                  <c:v>69.183097091893671</c:v>
                </c:pt>
                <c:pt idx="15">
                  <c:v>79.43282347242814</c:v>
                </c:pt>
                <c:pt idx="16">
                  <c:v>91.201083935590987</c:v>
                </c:pt>
                <c:pt idx="17">
                  <c:v>104.71285480508999</c:v>
                </c:pt>
                <c:pt idx="18">
                  <c:v>120.22644346174133</c:v>
                </c:pt>
                <c:pt idx="19">
                  <c:v>138.03842646028852</c:v>
                </c:pt>
                <c:pt idx="20">
                  <c:v>158.48931924611136</c:v>
                </c:pt>
                <c:pt idx="21">
                  <c:v>181.97008586099841</c:v>
                </c:pt>
                <c:pt idx="22">
                  <c:v>208.92961308540393</c:v>
                </c:pt>
                <c:pt idx="23">
                  <c:v>239.88329190194906</c:v>
                </c:pt>
                <c:pt idx="24">
                  <c:v>275.42287033381666</c:v>
                </c:pt>
                <c:pt idx="25">
                  <c:v>316.22776601683802</c:v>
                </c:pt>
                <c:pt idx="26">
                  <c:v>363.07805477010157</c:v>
                </c:pt>
                <c:pt idx="27">
                  <c:v>416.86938347033549</c:v>
                </c:pt>
                <c:pt idx="28">
                  <c:v>478.63009232263857</c:v>
                </c:pt>
                <c:pt idx="29">
                  <c:v>549.54087385762466</c:v>
                </c:pt>
                <c:pt idx="30">
                  <c:v>630.95734448019311</c:v>
                </c:pt>
                <c:pt idx="31">
                  <c:v>724.43596007499013</c:v>
                </c:pt>
                <c:pt idx="32">
                  <c:v>831.76377110267129</c:v>
                </c:pt>
                <c:pt idx="33">
                  <c:v>954.99258602143652</c:v>
                </c:pt>
                <c:pt idx="34">
                  <c:v>1096.4781961431861</c:v>
                </c:pt>
                <c:pt idx="35">
                  <c:v>1258.9254117941678</c:v>
                </c:pt>
                <c:pt idx="36">
                  <c:v>1445.4397707459284</c:v>
                </c:pt>
                <c:pt idx="37">
                  <c:v>1659.5869074375607</c:v>
                </c:pt>
                <c:pt idx="38">
                  <c:v>1905.460717963248</c:v>
                </c:pt>
                <c:pt idx="39">
                  <c:v>2187.7616239495524</c:v>
                </c:pt>
                <c:pt idx="40">
                  <c:v>2511.8864315095807</c:v>
                </c:pt>
                <c:pt idx="41">
                  <c:v>2884.0315031266073</c:v>
                </c:pt>
                <c:pt idx="42">
                  <c:v>3311.3112148259138</c:v>
                </c:pt>
                <c:pt idx="43">
                  <c:v>3801.8939632056163</c:v>
                </c:pt>
                <c:pt idx="44">
                  <c:v>4365.1583224016586</c:v>
                </c:pt>
                <c:pt idx="45">
                  <c:v>5011.8723362727233</c:v>
                </c:pt>
                <c:pt idx="46">
                  <c:v>5754.3993733715706</c:v>
                </c:pt>
                <c:pt idx="47">
                  <c:v>6606.9344800759645</c:v>
                </c:pt>
                <c:pt idx="48">
                  <c:v>7585.7757502918375</c:v>
                </c:pt>
                <c:pt idx="49">
                  <c:v>8709.6358995608098</c:v>
                </c:pt>
                <c:pt idx="50">
                  <c:v>10000</c:v>
                </c:pt>
                <c:pt idx="51">
                  <c:v>11481.536214968839</c:v>
                </c:pt>
                <c:pt idx="52">
                  <c:v>13182.567385564089</c:v>
                </c:pt>
                <c:pt idx="53">
                  <c:v>15135.61248436208</c:v>
                </c:pt>
                <c:pt idx="54">
                  <c:v>17378.008287493758</c:v>
                </c:pt>
                <c:pt idx="55">
                  <c:v>19952.623149688803</c:v>
                </c:pt>
                <c:pt idx="56">
                  <c:v>22908.676527677748</c:v>
                </c:pt>
                <c:pt idx="57">
                  <c:v>26302.679918953821</c:v>
                </c:pt>
                <c:pt idx="58">
                  <c:v>30199.517204020176</c:v>
                </c:pt>
                <c:pt idx="59">
                  <c:v>34673.685045253224</c:v>
                </c:pt>
                <c:pt idx="60">
                  <c:v>39810.717055349698</c:v>
                </c:pt>
                <c:pt idx="61">
                  <c:v>45708.81896148753</c:v>
                </c:pt>
                <c:pt idx="62">
                  <c:v>52480.746024977263</c:v>
                </c:pt>
                <c:pt idx="63">
                  <c:v>60255.958607435852</c:v>
                </c:pt>
                <c:pt idx="64">
                  <c:v>69183.097091893695</c:v>
                </c:pt>
                <c:pt idx="65">
                  <c:v>79432.82347242815</c:v>
                </c:pt>
                <c:pt idx="66">
                  <c:v>91201.083935591087</c:v>
                </c:pt>
                <c:pt idx="67">
                  <c:v>104712.85480509003</c:v>
                </c:pt>
                <c:pt idx="68">
                  <c:v>120226.44346174151</c:v>
                </c:pt>
                <c:pt idx="69">
                  <c:v>138038.42646028841</c:v>
                </c:pt>
                <c:pt idx="70">
                  <c:v>158489.31924611147</c:v>
                </c:pt>
                <c:pt idx="71">
                  <c:v>181970.08586099837</c:v>
                </c:pt>
                <c:pt idx="72">
                  <c:v>208929.61308540424</c:v>
                </c:pt>
                <c:pt idx="73">
                  <c:v>239883.29190194924</c:v>
                </c:pt>
                <c:pt idx="74">
                  <c:v>275422.87033381674</c:v>
                </c:pt>
                <c:pt idx="75">
                  <c:v>316227.76601683837</c:v>
                </c:pt>
                <c:pt idx="76">
                  <c:v>363078.05477010168</c:v>
                </c:pt>
                <c:pt idx="77">
                  <c:v>416869.38347033627</c:v>
                </c:pt>
                <c:pt idx="78">
                  <c:v>478630.09232263826</c:v>
                </c:pt>
                <c:pt idx="79">
                  <c:v>549540.87385762506</c:v>
                </c:pt>
                <c:pt idx="80">
                  <c:v>630957.34448019345</c:v>
                </c:pt>
                <c:pt idx="81">
                  <c:v>724435.96007498982</c:v>
                </c:pt>
                <c:pt idx="82">
                  <c:v>831763.77110267174</c:v>
                </c:pt>
                <c:pt idx="83">
                  <c:v>954992.58602143626</c:v>
                </c:pt>
                <c:pt idx="84">
                  <c:v>1096478.1961431869</c:v>
                </c:pt>
                <c:pt idx="85">
                  <c:v>1258925.4117941684</c:v>
                </c:pt>
                <c:pt idx="86">
                  <c:v>1445439.7707459307</c:v>
                </c:pt>
                <c:pt idx="87">
                  <c:v>1659586.9074375604</c:v>
                </c:pt>
                <c:pt idx="88">
                  <c:v>1905460.7179632459</c:v>
                </c:pt>
                <c:pt idx="89">
                  <c:v>2187761.6239495538</c:v>
                </c:pt>
                <c:pt idx="90">
                  <c:v>2511886.43150958</c:v>
                </c:pt>
                <c:pt idx="91">
                  <c:v>2884031.5031266091</c:v>
                </c:pt>
                <c:pt idx="92">
                  <c:v>3311311.2148259124</c:v>
                </c:pt>
                <c:pt idx="93">
                  <c:v>3801893.9632056188</c:v>
                </c:pt>
                <c:pt idx="94">
                  <c:v>4365158.3224016652</c:v>
                </c:pt>
                <c:pt idx="95">
                  <c:v>5011872.3362727351</c:v>
                </c:pt>
                <c:pt idx="96">
                  <c:v>5754399.3733715694</c:v>
                </c:pt>
                <c:pt idx="97">
                  <c:v>6606934.4800759563</c:v>
                </c:pt>
                <c:pt idx="98">
                  <c:v>7585775.750291842</c:v>
                </c:pt>
                <c:pt idx="99">
                  <c:v>8709635.8995608073</c:v>
                </c:pt>
                <c:pt idx="100">
                  <c:v>10000000</c:v>
                </c:pt>
              </c:numCache>
            </c:numRef>
          </c:xVal>
          <c:yVal>
            <c:numRef>
              <c:f>Graph_data!$T$7:$T$107</c:f>
              <c:numCache>
                <c:formatCode>General</c:formatCode>
                <c:ptCount val="101"/>
                <c:pt idx="0">
                  <c:v>-55.878249189737076</c:v>
                </c:pt>
                <c:pt idx="1">
                  <c:v>-59.447748646591393</c:v>
                </c:pt>
                <c:pt idx="2">
                  <c:v>-62.786511226983002</c:v>
                </c:pt>
                <c:pt idx="3">
                  <c:v>-65.867037983602586</c:v>
                </c:pt>
                <c:pt idx="4">
                  <c:v>-68.676249417039713</c:v>
                </c:pt>
                <c:pt idx="5">
                  <c:v>-71.213079098835962</c:v>
                </c:pt>
                <c:pt idx="6">
                  <c:v>-73.485544015276545</c:v>
                </c:pt>
                <c:pt idx="7">
                  <c:v>-75.507878959814406</c:v>
                </c:pt>
                <c:pt idx="8">
                  <c:v>-77.298074766135414</c:v>
                </c:pt>
                <c:pt idx="9">
                  <c:v>-78.875950841666409</c:v>
                </c:pt>
                <c:pt idx="10">
                  <c:v>-80.261755832124351</c:v>
                </c:pt>
                <c:pt idx="11">
                  <c:v>-81.475220880550026</c:v>
                </c:pt>
                <c:pt idx="12">
                  <c:v>-82.534967321863732</c:v>
                </c:pt>
                <c:pt idx="13">
                  <c:v>-83.458174299865675</c:v>
                </c:pt>
                <c:pt idx="14">
                  <c:v>-84.260426944206657</c:v>
                </c:pt>
                <c:pt idx="15">
                  <c:v>-84.955683682911072</c:v>
                </c:pt>
                <c:pt idx="16">
                  <c:v>-85.556317723375514</c:v>
                </c:pt>
                <c:pt idx="17">
                  <c:v>-86.073201139031326</c:v>
                </c:pt>
                <c:pt idx="18">
                  <c:v>-86.515810172826349</c:v>
                </c:pt>
                <c:pt idx="19">
                  <c:v>-86.892337732094404</c:v>
                </c:pt>
                <c:pt idx="20">
                  <c:v>-87.209804192997481</c:v>
                </c:pt>
                <c:pt idx="21">
                  <c:v>-87.474161121806773</c:v>
                </c:pt>
                <c:pt idx="22">
                  <c:v>-87.690384822746822</c:v>
                </c:pt>
                <c:pt idx="23">
                  <c:v>-87.862558096699843</c:v>
                </c:pt>
                <c:pt idx="24">
                  <c:v>-87.99393950420577</c:v>
                </c:pt>
                <c:pt idx="25">
                  <c:v>-88.087019956061297</c:v>
                </c:pt>
                <c:pt idx="26">
                  <c:v>-88.143566734803485</c:v>
                </c:pt>
                <c:pt idx="27">
                  <c:v>-88.164655169353424</c:v>
                </c:pt>
                <c:pt idx="28">
                  <c:v>-88.150688204181264</c:v>
                </c:pt>
                <c:pt idx="29">
                  <c:v>-88.101404066401798</c:v>
                </c:pt>
                <c:pt idx="30">
                  <c:v>-88.015872171133125</c:v>
                </c:pt>
                <c:pt idx="31">
                  <c:v>-87.892477343995708</c:v>
                </c:pt>
                <c:pt idx="32">
                  <c:v>-87.728892406387828</c:v>
                </c:pt>
                <c:pt idx="33">
                  <c:v>-87.522039195609793</c:v>
                </c:pt>
                <c:pt idx="34">
                  <c:v>-87.268038220029595</c:v>
                </c:pt>
                <c:pt idx="35">
                  <c:v>-86.962147438977041</c:v>
                </c:pt>
                <c:pt idx="36">
                  <c:v>-86.59869119464544</c:v>
                </c:pt>
                <c:pt idx="37">
                  <c:v>-86.170981235144623</c:v>
                </c:pt>
                <c:pt idx="38">
                  <c:v>-85.671233235559995</c:v>
                </c:pt>
                <c:pt idx="39">
                  <c:v>-85.090484503633604</c:v>
                </c:pt>
                <c:pt idx="40">
                  <c:v>-84.418521999301731</c:v>
                </c:pt>
                <c:pt idx="41">
                  <c:v>-83.643834861765995</c:v>
                </c:pt>
                <c:pt idx="42">
                  <c:v>-82.753612881607722</c:v>
                </c:pt>
                <c:pt idx="43">
                  <c:v>-81.733822368368436</c:v>
                </c:pt>
                <c:pt idx="44">
                  <c:v>-80.569404082181734</c:v>
                </c:pt>
                <c:pt idx="45">
                  <c:v>-79.244654197463447</c:v>
                </c:pt>
                <c:pt idx="46">
                  <c:v>-77.743867194383171</c:v>
                </c:pt>
                <c:pt idx="47">
                  <c:v>-76.05233508195235</c:v>
                </c:pt>
                <c:pt idx="48">
                  <c:v>-74.157802066241857</c:v>
                </c:pt>
                <c:pt idx="49">
                  <c:v>-72.052453323312776</c:v>
                </c:pt>
                <c:pt idx="50">
                  <c:v>-69.735450662385531</c:v>
                </c:pt>
                <c:pt idx="51">
                  <c:v>-67.215895562708184</c:v>
                </c:pt>
                <c:pt idx="52">
                  <c:v>-64.515893913754923</c:v>
                </c:pt>
                <c:pt idx="53">
                  <c:v>-61.673147296032937</c:v>
                </c:pt>
                <c:pt idx="54">
                  <c:v>-58.742294643973736</c:v>
                </c:pt>
                <c:pt idx="55">
                  <c:v>-55.794222191913953</c:v>
                </c:pt>
                <c:pt idx="56">
                  <c:v>-52.912880482426274</c:v>
                </c:pt>
                <c:pt idx="57">
                  <c:v>-50.189789051704409</c:v>
                </c:pt>
                <c:pt idx="58">
                  <c:v>-47.717145510472236</c:v>
                </c:pt>
                <c:pt idx="59">
                  <c:v>-45.580918099345901</c:v>
                </c:pt>
                <c:pt idx="60">
                  <c:v>-43.855221081108965</c:v>
                </c:pt>
                <c:pt idx="61">
                  <c:v>-42.598690596526481</c:v>
                </c:pt>
                <c:pt idx="62">
                  <c:v>-41.852816284070627</c:v>
                </c:pt>
                <c:pt idx="63">
                  <c:v>-41.641609878464124</c:v>
                </c:pt>
                <c:pt idx="64">
                  <c:v>-41.971805477433662</c:v>
                </c:pt>
                <c:pt idx="65">
                  <c:v>-42.83297375328533</c:v>
                </c:pt>
                <c:pt idx="66">
                  <c:v>-44.197356480190543</c:v>
                </c:pt>
                <c:pt idx="67">
                  <c:v>-46.019718598530126</c:v>
                </c:pt>
                <c:pt idx="68">
                  <c:v>-48.237902033090215</c:v>
                </c:pt>
                <c:pt idx="69">
                  <c:v>-50.774881059168997</c:v>
                </c:pt>
                <c:pt idx="70">
                  <c:v>-53.542843077479588</c:v>
                </c:pt>
                <c:pt idx="71">
                  <c:v>-56.449178972041572</c:v>
                </c:pt>
                <c:pt idx="72">
                  <c:v>-59.40351016203816</c:v>
                </c:pt>
                <c:pt idx="73">
                  <c:v>-62.324386273457783</c:v>
                </c:pt>
                <c:pt idx="74">
                  <c:v>-65.144334020662114</c:v>
                </c:pt>
                <c:pt idx="75">
                  <c:v>-67.812490142319135</c:v>
                </c:pt>
                <c:pt idx="76">
                  <c:v>-70.294796257624682</c:v>
                </c:pt>
                <c:pt idx="77">
                  <c:v>-72.572317173002176</c:v>
                </c:pt>
                <c:pt idx="78">
                  <c:v>-74.638487912703084</c:v>
                </c:pt>
                <c:pt idx="79">
                  <c:v>-76.496033096247146</c:v>
                </c:pt>
                <c:pt idx="80">
                  <c:v>-78.154079641927794</c:v>
                </c:pt>
                <c:pt idx="81">
                  <c:v>-79.625738227815432</c:v>
                </c:pt>
                <c:pt idx="82">
                  <c:v>-80.926237965197501</c:v>
                </c:pt>
                <c:pt idx="83">
                  <c:v>-82.071582273999141</c:v>
                </c:pt>
                <c:pt idx="84">
                  <c:v>-83.077639844307996</c:v>
                </c:pt>
                <c:pt idx="85">
                  <c:v>-83.959571133803607</c:v>
                </c:pt>
                <c:pt idx="86">
                  <c:v>-84.731498911372725</c:v>
                </c:pt>
                <c:pt idx="87">
                  <c:v>-85.406347937566736</c:v>
                </c:pt>
                <c:pt idx="88">
                  <c:v>-85.995796693222516</c:v>
                </c:pt>
                <c:pt idx="89">
                  <c:v>-86.510299778528619</c:v>
                </c:pt>
                <c:pt idx="90">
                  <c:v>-86.959152130731766</c:v>
                </c:pt>
                <c:pt idx="91">
                  <c:v>-87.350575597873458</c:v>
                </c:pt>
                <c:pt idx="92">
                  <c:v>-87.691815153257721</c:v>
                </c:pt>
                <c:pt idx="93">
                  <c:v>-87.989236734275238</c:v>
                </c:pt>
                <c:pt idx="94">
                  <c:v>-88.248421879275853</c:v>
                </c:pt>
                <c:pt idx="95">
                  <c:v>-88.474256452887047</c:v>
                </c:pt>
                <c:pt idx="96">
                  <c:v>-88.671012122551886</c:v>
                </c:pt>
                <c:pt idx="97">
                  <c:v>-88.842420115516688</c:v>
                </c:pt>
                <c:pt idx="98">
                  <c:v>-88.991737313936838</c:v>
                </c:pt>
                <c:pt idx="99">
                  <c:v>-89.121805051996944</c:v>
                </c:pt>
                <c:pt idx="100">
                  <c:v>-89.235101141584039</c:v>
                </c:pt>
              </c:numCache>
            </c:numRef>
          </c:yVal>
          <c:smooth val="1"/>
        </c:ser>
        <c:dLbls>
          <c:showLegendKey val="0"/>
          <c:showVal val="0"/>
          <c:showCatName val="0"/>
          <c:showSerName val="0"/>
          <c:showPercent val="0"/>
          <c:showBubbleSize val="0"/>
        </c:dLbls>
        <c:axId val="50135424"/>
        <c:axId val="50137344"/>
      </c:scatterChart>
      <c:valAx>
        <c:axId val="50135424"/>
        <c:scaling>
          <c:logBase val="10"/>
          <c:orientation val="minMax"/>
          <c:max val="1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Freq (Hz)</a:t>
                </a:r>
              </a:p>
            </c:rich>
          </c:tx>
          <c:layout>
            <c:manualLayout>
              <c:xMode val="edge"/>
              <c:yMode val="edge"/>
              <c:x val="0.44313807832844432"/>
              <c:y val="0.894739297938634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137344"/>
        <c:crosses val="autoZero"/>
        <c:crossBetween val="midCat"/>
        <c:majorUnit val="100"/>
        <c:minorUnit val="10"/>
      </c:valAx>
      <c:valAx>
        <c:axId val="5013734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Phase (degrees)</a:t>
                </a:r>
              </a:p>
            </c:rich>
          </c:tx>
          <c:layout>
            <c:manualLayout>
              <c:xMode val="edge"/>
              <c:yMode val="edge"/>
              <c:x val="3.333333333333334E-2"/>
              <c:y val="0.385966140197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135424"/>
        <c:crossesAt val="0.1"/>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Loop Gain</a:t>
            </a:r>
          </a:p>
        </c:rich>
      </c:tx>
      <c:layout>
        <c:manualLayout>
          <c:xMode val="edge"/>
          <c:yMode val="edge"/>
          <c:x val="0.37451042149143132"/>
          <c:y val="3.5398230088495596E-2"/>
        </c:manualLayout>
      </c:layout>
      <c:overlay val="0"/>
      <c:spPr>
        <a:noFill/>
        <a:ln w="25400">
          <a:noFill/>
        </a:ln>
      </c:spPr>
    </c:title>
    <c:autoTitleDeleted val="0"/>
    <c:plotArea>
      <c:layout>
        <c:manualLayout>
          <c:layoutTarget val="inner"/>
          <c:xMode val="edge"/>
          <c:yMode val="edge"/>
          <c:x val="0.12352964830278856"/>
          <c:y val="0.20354040935082976"/>
          <c:w val="0.70980528072395976"/>
          <c:h val="0.66371872614401095"/>
        </c:manualLayout>
      </c:layout>
      <c:scatterChart>
        <c:scatterStyle val="smoothMarker"/>
        <c:varyColors val="0"/>
        <c:ser>
          <c:idx val="0"/>
          <c:order val="0"/>
          <c:tx>
            <c:v>Loop Gain</c:v>
          </c:tx>
          <c:marker>
            <c:symbol val="none"/>
          </c:marker>
          <c:xVal>
            <c:numRef>
              <c:f>Graph_data!$B$7:$B$107</c:f>
              <c:numCache>
                <c:formatCode>General</c:formatCode>
                <c:ptCount val="101"/>
                <c:pt idx="0">
                  <c:v>10</c:v>
                </c:pt>
                <c:pt idx="1">
                  <c:v>11.481536214968829</c:v>
                </c:pt>
                <c:pt idx="2">
                  <c:v>13.182567385564072</c:v>
                </c:pt>
                <c:pt idx="3">
                  <c:v>15.135612484362081</c:v>
                </c:pt>
                <c:pt idx="4">
                  <c:v>17.378008287493756</c:v>
                </c:pt>
                <c:pt idx="5">
                  <c:v>19.952623149688797</c:v>
                </c:pt>
                <c:pt idx="6">
                  <c:v>22.908676527677731</c:v>
                </c:pt>
                <c:pt idx="7">
                  <c:v>26.302679918953821</c:v>
                </c:pt>
                <c:pt idx="8">
                  <c:v>30.199517204020164</c:v>
                </c:pt>
                <c:pt idx="9">
                  <c:v>34.673685045253173</c:v>
                </c:pt>
                <c:pt idx="10">
                  <c:v>39.810717055349727</c:v>
                </c:pt>
                <c:pt idx="11">
                  <c:v>45.708818961487495</c:v>
                </c:pt>
                <c:pt idx="12">
                  <c:v>52.480746024977265</c:v>
                </c:pt>
                <c:pt idx="13">
                  <c:v>60.255958607435794</c:v>
                </c:pt>
                <c:pt idx="14">
                  <c:v>69.183097091893671</c:v>
                </c:pt>
                <c:pt idx="15">
                  <c:v>79.43282347242814</c:v>
                </c:pt>
                <c:pt idx="16">
                  <c:v>91.201083935590987</c:v>
                </c:pt>
                <c:pt idx="17">
                  <c:v>104.71285480508999</c:v>
                </c:pt>
                <c:pt idx="18">
                  <c:v>120.22644346174133</c:v>
                </c:pt>
                <c:pt idx="19">
                  <c:v>138.03842646028852</c:v>
                </c:pt>
                <c:pt idx="20">
                  <c:v>158.48931924611136</c:v>
                </c:pt>
                <c:pt idx="21">
                  <c:v>181.97008586099841</c:v>
                </c:pt>
                <c:pt idx="22">
                  <c:v>208.92961308540393</c:v>
                </c:pt>
                <c:pt idx="23">
                  <c:v>239.88329190194906</c:v>
                </c:pt>
                <c:pt idx="24">
                  <c:v>275.42287033381666</c:v>
                </c:pt>
                <c:pt idx="25">
                  <c:v>316.22776601683802</c:v>
                </c:pt>
                <c:pt idx="26">
                  <c:v>363.07805477010157</c:v>
                </c:pt>
                <c:pt idx="27">
                  <c:v>416.86938347033549</c:v>
                </c:pt>
                <c:pt idx="28">
                  <c:v>478.63009232263857</c:v>
                </c:pt>
                <c:pt idx="29">
                  <c:v>549.54087385762466</c:v>
                </c:pt>
                <c:pt idx="30">
                  <c:v>630.95734448019311</c:v>
                </c:pt>
                <c:pt idx="31">
                  <c:v>724.43596007499013</c:v>
                </c:pt>
                <c:pt idx="32">
                  <c:v>831.76377110267129</c:v>
                </c:pt>
                <c:pt idx="33">
                  <c:v>954.99258602143652</c:v>
                </c:pt>
                <c:pt idx="34">
                  <c:v>1096.4781961431861</c:v>
                </c:pt>
                <c:pt idx="35">
                  <c:v>1258.9254117941678</c:v>
                </c:pt>
                <c:pt idx="36">
                  <c:v>1445.4397707459284</c:v>
                </c:pt>
                <c:pt idx="37">
                  <c:v>1659.5869074375607</c:v>
                </c:pt>
                <c:pt idx="38">
                  <c:v>1905.460717963248</c:v>
                </c:pt>
                <c:pt idx="39">
                  <c:v>2187.7616239495524</c:v>
                </c:pt>
                <c:pt idx="40">
                  <c:v>2511.8864315095807</c:v>
                </c:pt>
                <c:pt idx="41">
                  <c:v>2884.0315031266073</c:v>
                </c:pt>
                <c:pt idx="42">
                  <c:v>3311.3112148259138</c:v>
                </c:pt>
                <c:pt idx="43">
                  <c:v>3801.8939632056163</c:v>
                </c:pt>
                <c:pt idx="44">
                  <c:v>4365.1583224016586</c:v>
                </c:pt>
                <c:pt idx="45">
                  <c:v>5011.8723362727233</c:v>
                </c:pt>
                <c:pt idx="46">
                  <c:v>5754.3993733715706</c:v>
                </c:pt>
                <c:pt idx="47">
                  <c:v>6606.9344800759645</c:v>
                </c:pt>
                <c:pt idx="48">
                  <c:v>7585.7757502918375</c:v>
                </c:pt>
                <c:pt idx="49">
                  <c:v>8709.6358995608098</c:v>
                </c:pt>
                <c:pt idx="50">
                  <c:v>10000</c:v>
                </c:pt>
                <c:pt idx="51">
                  <c:v>11481.536214968839</c:v>
                </c:pt>
                <c:pt idx="52">
                  <c:v>13182.567385564089</c:v>
                </c:pt>
                <c:pt idx="53">
                  <c:v>15135.61248436208</c:v>
                </c:pt>
                <c:pt idx="54">
                  <c:v>17378.008287493758</c:v>
                </c:pt>
                <c:pt idx="55">
                  <c:v>19952.623149688803</c:v>
                </c:pt>
                <c:pt idx="56">
                  <c:v>22908.676527677748</c:v>
                </c:pt>
                <c:pt idx="57">
                  <c:v>26302.679918953821</c:v>
                </c:pt>
                <c:pt idx="58">
                  <c:v>30199.517204020176</c:v>
                </c:pt>
                <c:pt idx="59">
                  <c:v>34673.685045253224</c:v>
                </c:pt>
                <c:pt idx="60">
                  <c:v>39810.717055349698</c:v>
                </c:pt>
                <c:pt idx="61">
                  <c:v>45708.81896148753</c:v>
                </c:pt>
                <c:pt idx="62">
                  <c:v>52480.746024977263</c:v>
                </c:pt>
                <c:pt idx="63">
                  <c:v>60255.958607435852</c:v>
                </c:pt>
                <c:pt idx="64">
                  <c:v>69183.097091893695</c:v>
                </c:pt>
                <c:pt idx="65">
                  <c:v>79432.82347242815</c:v>
                </c:pt>
                <c:pt idx="66">
                  <c:v>91201.083935591087</c:v>
                </c:pt>
                <c:pt idx="67">
                  <c:v>104712.85480509003</c:v>
                </c:pt>
                <c:pt idx="68">
                  <c:v>120226.44346174151</c:v>
                </c:pt>
                <c:pt idx="69">
                  <c:v>138038.42646028841</c:v>
                </c:pt>
                <c:pt idx="70">
                  <c:v>158489.31924611147</c:v>
                </c:pt>
                <c:pt idx="71">
                  <c:v>181970.08586099837</c:v>
                </c:pt>
                <c:pt idx="72">
                  <c:v>208929.61308540424</c:v>
                </c:pt>
                <c:pt idx="73">
                  <c:v>239883.29190194924</c:v>
                </c:pt>
                <c:pt idx="74">
                  <c:v>275422.87033381674</c:v>
                </c:pt>
                <c:pt idx="75">
                  <c:v>316227.76601683837</c:v>
                </c:pt>
                <c:pt idx="76">
                  <c:v>363078.05477010168</c:v>
                </c:pt>
                <c:pt idx="77">
                  <c:v>416869.38347033627</c:v>
                </c:pt>
                <c:pt idx="78">
                  <c:v>478630.09232263826</c:v>
                </c:pt>
                <c:pt idx="79">
                  <c:v>549540.87385762506</c:v>
                </c:pt>
                <c:pt idx="80">
                  <c:v>630957.34448019345</c:v>
                </c:pt>
                <c:pt idx="81">
                  <c:v>724435.96007498982</c:v>
                </c:pt>
                <c:pt idx="82">
                  <c:v>831763.77110267174</c:v>
                </c:pt>
                <c:pt idx="83">
                  <c:v>954992.58602143626</c:v>
                </c:pt>
                <c:pt idx="84">
                  <c:v>1096478.1961431869</c:v>
                </c:pt>
                <c:pt idx="85">
                  <c:v>1258925.4117941684</c:v>
                </c:pt>
                <c:pt idx="86">
                  <c:v>1445439.7707459307</c:v>
                </c:pt>
                <c:pt idx="87">
                  <c:v>1659586.9074375604</c:v>
                </c:pt>
                <c:pt idx="88">
                  <c:v>1905460.7179632459</c:v>
                </c:pt>
                <c:pt idx="89">
                  <c:v>2187761.6239495538</c:v>
                </c:pt>
                <c:pt idx="90">
                  <c:v>2511886.43150958</c:v>
                </c:pt>
                <c:pt idx="91">
                  <c:v>2884031.5031266091</c:v>
                </c:pt>
                <c:pt idx="92">
                  <c:v>3311311.2148259124</c:v>
                </c:pt>
                <c:pt idx="93">
                  <c:v>3801893.9632056188</c:v>
                </c:pt>
                <c:pt idx="94">
                  <c:v>4365158.3224016652</c:v>
                </c:pt>
                <c:pt idx="95">
                  <c:v>5011872.3362727351</c:v>
                </c:pt>
                <c:pt idx="96">
                  <c:v>5754399.3733715694</c:v>
                </c:pt>
                <c:pt idx="97">
                  <c:v>6606934.4800759563</c:v>
                </c:pt>
                <c:pt idx="98">
                  <c:v>7585775.750291842</c:v>
                </c:pt>
                <c:pt idx="99">
                  <c:v>8709635.8995608073</c:v>
                </c:pt>
                <c:pt idx="100">
                  <c:v>10000000</c:v>
                </c:pt>
              </c:numCache>
            </c:numRef>
          </c:xVal>
          <c:yVal>
            <c:numRef>
              <c:f>Graph_data!$U$7:$U$107</c:f>
              <c:numCache>
                <c:formatCode>General</c:formatCode>
                <c:ptCount val="101"/>
                <c:pt idx="0">
                  <c:v>86.596064681487377</c:v>
                </c:pt>
                <c:pt idx="1">
                  <c:v>85.738747681261898</c:v>
                </c:pt>
                <c:pt idx="2">
                  <c:v>84.817998948633985</c:v>
                </c:pt>
                <c:pt idx="3">
                  <c:v>83.842465673579682</c:v>
                </c:pt>
                <c:pt idx="4">
                  <c:v>82.82079092120351</c:v>
                </c:pt>
                <c:pt idx="5">
                  <c:v>81.761068003213111</c:v>
                </c:pt>
                <c:pt idx="6">
                  <c:v>80.670511071051777</c:v>
                </c:pt>
                <c:pt idx="7">
                  <c:v>79.555311365134926</c:v>
                </c:pt>
                <c:pt idx="8">
                  <c:v>78.42062778530395</c:v>
                </c:pt>
                <c:pt idx="9">
                  <c:v>77.270660221983292</c:v>
                </c:pt>
                <c:pt idx="10">
                  <c:v>76.10876421355735</c:v>
                </c:pt>
                <c:pt idx="11">
                  <c:v>74.937578245750217</c:v>
                </c:pt>
                <c:pt idx="12">
                  <c:v>73.75914623723088</c:v>
                </c:pt>
                <c:pt idx="13">
                  <c:v>72.575026031988699</c:v>
                </c:pt>
                <c:pt idx="14">
                  <c:v>71.386380096260467</c:v>
                </c:pt>
                <c:pt idx="15">
                  <c:v>70.194047720868184</c:v>
                </c:pt>
                <c:pt idx="16">
                  <c:v>68.998599559841409</c:v>
                </c:pt>
                <c:pt idx="17">
                  <c:v>67.800375869587882</c:v>
                </c:pt>
                <c:pt idx="18">
                  <c:v>66.599509758774474</c:v>
                </c:pt>
                <c:pt idx="19">
                  <c:v>65.395936382940079</c:v>
                </c:pt>
                <c:pt idx="20">
                  <c:v>64.189388483738497</c:v>
                </c:pt>
                <c:pt idx="21">
                  <c:v>62.979378085052971</c:v>
                </c:pt>
                <c:pt idx="22">
                  <c:v>61.765163598852581</c:v>
                </c:pt>
                <c:pt idx="23">
                  <c:v>60.545701156024414</c:v>
                </c:pt>
                <c:pt idx="24">
                  <c:v>59.319578802327534</c:v>
                </c:pt>
                <c:pt idx="25">
                  <c:v>58.084932515531918</c:v>
                </c:pt>
                <c:pt idx="26">
                  <c:v>56.839344166151648</c:v>
                </c:pt>
                <c:pt idx="27">
                  <c:v>55.579724084509451</c:v>
                </c:pt>
                <c:pt idx="28">
                  <c:v>54.302185485230282</c:v>
                </c:pt>
                <c:pt idx="29">
                  <c:v>53.001925324514431</c:v>
                </c:pt>
                <c:pt idx="30">
                  <c:v>51.673136542948356</c:v>
                </c:pt>
                <c:pt idx="31">
                  <c:v>50.308989252432127</c:v>
                </c:pt>
                <c:pt idx="32">
                  <c:v>48.901730126808772</c:v>
                </c:pt>
                <c:pt idx="33">
                  <c:v>47.442953497494244</c:v>
                </c:pt>
                <c:pt idx="34">
                  <c:v>45.924084711112485</c:v>
                </c:pt>
                <c:pt idx="35">
                  <c:v>44.337076949647454</c:v>
                </c:pt>
                <c:pt idx="36">
                  <c:v>42.675256427445987</c:v>
                </c:pt>
                <c:pt idx="37">
                  <c:v>40.934175224593233</c:v>
                </c:pt>
                <c:pt idx="38">
                  <c:v>39.112282422076646</c:v>
                </c:pt>
                <c:pt idx="39">
                  <c:v>37.211240672373478</c:v>
                </c:pt>
                <c:pt idx="40">
                  <c:v>35.235806624133374</c:v>
                </c:pt>
                <c:pt idx="41">
                  <c:v>33.193324363727797</c:v>
                </c:pt>
                <c:pt idx="42">
                  <c:v>31.092989115516147</c:v>
                </c:pt>
                <c:pt idx="43">
                  <c:v>28.945077128835528</c:v>
                </c:pt>
                <c:pt idx="44">
                  <c:v>26.760303812908589</c:v>
                </c:pt>
                <c:pt idx="45">
                  <c:v>24.549398277387393</c:v>
                </c:pt>
                <c:pt idx="46">
                  <c:v>22.322907450078027</c:v>
                </c:pt>
                <c:pt idx="47">
                  <c:v>20.091189805990254</c:v>
                </c:pt>
                <c:pt idx="48">
                  <c:v>17.864530709990515</c:v>
                </c:pt>
                <c:pt idx="49">
                  <c:v>15.653300605092918</c:v>
                </c:pt>
                <c:pt idx="50">
                  <c:v>13.468074891059572</c:v>
                </c:pt>
                <c:pt idx="51">
                  <c:v>11.319636638476492</c:v>
                </c:pt>
                <c:pt idx="52">
                  <c:v>9.2187937141574334</c:v>
                </c:pt>
                <c:pt idx="53">
                  <c:v>7.1759692321653077</c:v>
                </c:pt>
                <c:pt idx="54">
                  <c:v>5.2005765624908431</c:v>
                </c:pt>
                <c:pt idx="55">
                  <c:v>3.3002648205190517</c:v>
                </c:pt>
                <c:pt idx="56">
                  <c:v>1.4801957312496383</c:v>
                </c:pt>
                <c:pt idx="57">
                  <c:v>-0.25745058818093636</c:v>
                </c:pt>
                <c:pt idx="58">
                  <c:v>-1.9135783613348663</c:v>
                </c:pt>
                <c:pt idx="59">
                  <c:v>-3.4918299974521418</c:v>
                </c:pt>
                <c:pt idx="60">
                  <c:v>-4.9978636453021092</c:v>
                </c:pt>
                <c:pt idx="61">
                  <c:v>-6.4384196570920604</c:v>
                </c:pt>
                <c:pt idx="62">
                  <c:v>-7.8203597666660665</c:v>
                </c:pt>
                <c:pt idx="63">
                  <c:v>-9.149816375072314</c:v>
                </c:pt>
                <c:pt idx="64">
                  <c:v>-10.431516984537154</c:v>
                </c:pt>
                <c:pt idx="65">
                  <c:v>-11.668289907320041</c:v>
                </c:pt>
                <c:pt idx="66">
                  <c:v>-12.860732999573383</c:v>
                </c:pt>
                <c:pt idx="67">
                  <c:v>-14.00703846037387</c:v>
                </c:pt>
                <c:pt idx="68">
                  <c:v>-15.103000568352854</c:v>
                </c:pt>
                <c:pt idx="69">
                  <c:v>-16.142267064834495</c:v>
                </c:pt>
                <c:pt idx="70">
                  <c:v>-17.116901627748884</c:v>
                </c:pt>
                <c:pt idx="71">
                  <c:v>-18.018283533382945</c:v>
                </c:pt>
                <c:pt idx="72">
                  <c:v>-18.838282919235954</c:v>
                </c:pt>
                <c:pt idx="73">
                  <c:v>-19.570551185199385</c:v>
                </c:pt>
                <c:pt idx="74">
                  <c:v>-20.211714650287949</c:v>
                </c:pt>
                <c:pt idx="75">
                  <c:v>-20.762307820356355</c:v>
                </c:pt>
                <c:pt idx="76">
                  <c:v>-21.227445832658045</c:v>
                </c:pt>
                <c:pt idx="77">
                  <c:v>-21.617482905294018</c:v>
                </c:pt>
                <c:pt idx="78">
                  <c:v>-21.94917162600203</c:v>
                </c:pt>
                <c:pt idx="79">
                  <c:v>-22.248033807796304</c:v>
                </c:pt>
                <c:pt idx="80">
                  <c:v>-22.552568116221011</c:v>
                </c:pt>
                <c:pt idx="81">
                  <c:v>-22.919974556249763</c:v>
                </c:pt>
                <c:pt idx="82">
                  <c:v>-23.430156297232859</c:v>
                </c:pt>
                <c:pt idx="83">
                  <c:v>-24.179679420544236</c:v>
                </c:pt>
                <c:pt idx="84">
                  <c:v>-25.256227746572268</c:v>
                </c:pt>
                <c:pt idx="85">
                  <c:v>-26.699874852358462</c:v>
                </c:pt>
                <c:pt idx="86">
                  <c:v>-28.48240523493314</c:v>
                </c:pt>
                <c:pt idx="87">
                  <c:v>-30.526595773294297</c:v>
                </c:pt>
                <c:pt idx="88">
                  <c:v>-32.74512814975099</c:v>
                </c:pt>
                <c:pt idx="89">
                  <c:v>-35.06717823333647</c:v>
                </c:pt>
                <c:pt idx="90">
                  <c:v>-37.445095181476638</c:v>
                </c:pt>
                <c:pt idx="91">
                  <c:v>-39.850308032150267</c:v>
                </c:pt>
                <c:pt idx="92">
                  <c:v>-42.26698505211877</c:v>
                </c:pt>
                <c:pt idx="93">
                  <c:v>-44.686925395379163</c:v>
                </c:pt>
                <c:pt idx="94">
                  <c:v>-47.106210262265151</c:v>
                </c:pt>
                <c:pt idx="95">
                  <c:v>-49.523209375203329</c:v>
                </c:pt>
                <c:pt idx="96">
                  <c:v>-51.937456009632683</c:v>
                </c:pt>
                <c:pt idx="97">
                  <c:v>-54.349034765023731</c:v>
                </c:pt>
                <c:pt idx="98">
                  <c:v>-56.758259235156018</c:v>
                </c:pt>
                <c:pt idx="99">
                  <c:v>-59.165509182138805</c:v>
                </c:pt>
                <c:pt idx="100">
                  <c:v>-61.571153497825904</c:v>
                </c:pt>
              </c:numCache>
            </c:numRef>
          </c:yVal>
          <c:smooth val="1"/>
        </c:ser>
        <c:dLbls>
          <c:showLegendKey val="0"/>
          <c:showVal val="0"/>
          <c:showCatName val="0"/>
          <c:showSerName val="0"/>
          <c:showPercent val="0"/>
          <c:showBubbleSize val="0"/>
        </c:dLbls>
        <c:axId val="50169728"/>
        <c:axId val="50171904"/>
      </c:scatterChart>
      <c:valAx>
        <c:axId val="50169728"/>
        <c:scaling>
          <c:logBase val="10"/>
          <c:orientation val="minMax"/>
          <c:max val="10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Freq (Hz)</a:t>
                </a:r>
              </a:p>
            </c:rich>
          </c:tx>
          <c:layout>
            <c:manualLayout>
              <c:xMode val="edge"/>
              <c:yMode val="edge"/>
              <c:x val="0.42432917196825953"/>
              <c:y val="0.888299003655645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171904"/>
        <c:crossesAt val="0.1"/>
        <c:crossBetween val="midCat"/>
        <c:majorUnit val="100"/>
        <c:minorUnit val="100"/>
      </c:valAx>
      <c:valAx>
        <c:axId val="5017190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Gain (dB)</a:t>
                </a:r>
              </a:p>
            </c:rich>
          </c:tx>
          <c:layout>
            <c:manualLayout>
              <c:xMode val="edge"/>
              <c:yMode val="edge"/>
              <c:x val="3.137254901960785E-2"/>
              <c:y val="0.457228377426273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169728"/>
        <c:crossesAt val="0.1"/>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orientation="landscape" horizontalDpi="200" verticalDpi="2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Loop Phase</a:t>
            </a:r>
          </a:p>
        </c:rich>
      </c:tx>
      <c:layout>
        <c:manualLayout>
          <c:xMode val="edge"/>
          <c:yMode val="edge"/>
          <c:x val="0.36666728423652922"/>
          <c:y val="3.5087719298245612E-2"/>
        </c:manualLayout>
      </c:layout>
      <c:overlay val="0"/>
      <c:spPr>
        <a:noFill/>
        <a:ln w="25400">
          <a:noFill/>
        </a:ln>
      </c:spPr>
    </c:title>
    <c:autoTitleDeleted val="0"/>
    <c:plotArea>
      <c:layout>
        <c:manualLayout>
          <c:layoutTarget val="inner"/>
          <c:xMode val="edge"/>
          <c:yMode val="edge"/>
          <c:x val="0.15490225739556127"/>
          <c:y val="0.18713503727795291"/>
          <c:w val="0.67843267163119114"/>
          <c:h val="0.67836451013258181"/>
        </c:manualLayout>
      </c:layout>
      <c:scatterChart>
        <c:scatterStyle val="smoothMarker"/>
        <c:varyColors val="0"/>
        <c:ser>
          <c:idx val="0"/>
          <c:order val="0"/>
          <c:tx>
            <c:v>Loop Phase</c:v>
          </c:tx>
          <c:marker>
            <c:symbol val="none"/>
          </c:marker>
          <c:xVal>
            <c:numRef>
              <c:f>Graph_data!$B$7:$B$107</c:f>
              <c:numCache>
                <c:formatCode>General</c:formatCode>
                <c:ptCount val="101"/>
                <c:pt idx="0">
                  <c:v>10</c:v>
                </c:pt>
                <c:pt idx="1">
                  <c:v>11.481536214968829</c:v>
                </c:pt>
                <c:pt idx="2">
                  <c:v>13.182567385564072</c:v>
                </c:pt>
                <c:pt idx="3">
                  <c:v>15.135612484362081</c:v>
                </c:pt>
                <c:pt idx="4">
                  <c:v>17.378008287493756</c:v>
                </c:pt>
                <c:pt idx="5">
                  <c:v>19.952623149688797</c:v>
                </c:pt>
                <c:pt idx="6">
                  <c:v>22.908676527677731</c:v>
                </c:pt>
                <c:pt idx="7">
                  <c:v>26.302679918953821</c:v>
                </c:pt>
                <c:pt idx="8">
                  <c:v>30.199517204020164</c:v>
                </c:pt>
                <c:pt idx="9">
                  <c:v>34.673685045253173</c:v>
                </c:pt>
                <c:pt idx="10">
                  <c:v>39.810717055349727</c:v>
                </c:pt>
                <c:pt idx="11">
                  <c:v>45.708818961487495</c:v>
                </c:pt>
                <c:pt idx="12">
                  <c:v>52.480746024977265</c:v>
                </c:pt>
                <c:pt idx="13">
                  <c:v>60.255958607435794</c:v>
                </c:pt>
                <c:pt idx="14">
                  <c:v>69.183097091893671</c:v>
                </c:pt>
                <c:pt idx="15">
                  <c:v>79.43282347242814</c:v>
                </c:pt>
                <c:pt idx="16">
                  <c:v>91.201083935590987</c:v>
                </c:pt>
                <c:pt idx="17">
                  <c:v>104.71285480508999</c:v>
                </c:pt>
                <c:pt idx="18">
                  <c:v>120.22644346174133</c:v>
                </c:pt>
                <c:pt idx="19">
                  <c:v>138.03842646028852</c:v>
                </c:pt>
                <c:pt idx="20">
                  <c:v>158.48931924611136</c:v>
                </c:pt>
                <c:pt idx="21">
                  <c:v>181.97008586099841</c:v>
                </c:pt>
                <c:pt idx="22">
                  <c:v>208.92961308540393</c:v>
                </c:pt>
                <c:pt idx="23">
                  <c:v>239.88329190194906</c:v>
                </c:pt>
                <c:pt idx="24">
                  <c:v>275.42287033381666</c:v>
                </c:pt>
                <c:pt idx="25">
                  <c:v>316.22776601683802</c:v>
                </c:pt>
                <c:pt idx="26">
                  <c:v>363.07805477010157</c:v>
                </c:pt>
                <c:pt idx="27">
                  <c:v>416.86938347033549</c:v>
                </c:pt>
                <c:pt idx="28">
                  <c:v>478.63009232263857</c:v>
                </c:pt>
                <c:pt idx="29">
                  <c:v>549.54087385762466</c:v>
                </c:pt>
                <c:pt idx="30">
                  <c:v>630.95734448019311</c:v>
                </c:pt>
                <c:pt idx="31">
                  <c:v>724.43596007499013</c:v>
                </c:pt>
                <c:pt idx="32">
                  <c:v>831.76377110267129</c:v>
                </c:pt>
                <c:pt idx="33">
                  <c:v>954.99258602143652</c:v>
                </c:pt>
                <c:pt idx="34">
                  <c:v>1096.4781961431861</c:v>
                </c:pt>
                <c:pt idx="35">
                  <c:v>1258.9254117941678</c:v>
                </c:pt>
                <c:pt idx="36">
                  <c:v>1445.4397707459284</c:v>
                </c:pt>
                <c:pt idx="37">
                  <c:v>1659.5869074375607</c:v>
                </c:pt>
                <c:pt idx="38">
                  <c:v>1905.460717963248</c:v>
                </c:pt>
                <c:pt idx="39">
                  <c:v>2187.7616239495524</c:v>
                </c:pt>
                <c:pt idx="40">
                  <c:v>2511.8864315095807</c:v>
                </c:pt>
                <c:pt idx="41">
                  <c:v>2884.0315031266073</c:v>
                </c:pt>
                <c:pt idx="42">
                  <c:v>3311.3112148259138</c:v>
                </c:pt>
                <c:pt idx="43">
                  <c:v>3801.8939632056163</c:v>
                </c:pt>
                <c:pt idx="44">
                  <c:v>4365.1583224016586</c:v>
                </c:pt>
                <c:pt idx="45">
                  <c:v>5011.8723362727233</c:v>
                </c:pt>
                <c:pt idx="46">
                  <c:v>5754.3993733715706</c:v>
                </c:pt>
                <c:pt idx="47">
                  <c:v>6606.9344800759645</c:v>
                </c:pt>
                <c:pt idx="48">
                  <c:v>7585.7757502918375</c:v>
                </c:pt>
                <c:pt idx="49">
                  <c:v>8709.6358995608098</c:v>
                </c:pt>
                <c:pt idx="50">
                  <c:v>10000</c:v>
                </c:pt>
                <c:pt idx="51">
                  <c:v>11481.536214968839</c:v>
                </c:pt>
                <c:pt idx="52">
                  <c:v>13182.567385564089</c:v>
                </c:pt>
                <c:pt idx="53">
                  <c:v>15135.61248436208</c:v>
                </c:pt>
                <c:pt idx="54">
                  <c:v>17378.008287493758</c:v>
                </c:pt>
                <c:pt idx="55">
                  <c:v>19952.623149688803</c:v>
                </c:pt>
                <c:pt idx="56">
                  <c:v>22908.676527677748</c:v>
                </c:pt>
                <c:pt idx="57">
                  <c:v>26302.679918953821</c:v>
                </c:pt>
                <c:pt idx="58">
                  <c:v>30199.517204020176</c:v>
                </c:pt>
                <c:pt idx="59">
                  <c:v>34673.685045253224</c:v>
                </c:pt>
                <c:pt idx="60">
                  <c:v>39810.717055349698</c:v>
                </c:pt>
                <c:pt idx="61">
                  <c:v>45708.81896148753</c:v>
                </c:pt>
                <c:pt idx="62">
                  <c:v>52480.746024977263</c:v>
                </c:pt>
                <c:pt idx="63">
                  <c:v>60255.958607435852</c:v>
                </c:pt>
                <c:pt idx="64">
                  <c:v>69183.097091893695</c:v>
                </c:pt>
                <c:pt idx="65">
                  <c:v>79432.82347242815</c:v>
                </c:pt>
                <c:pt idx="66">
                  <c:v>91201.083935591087</c:v>
                </c:pt>
                <c:pt idx="67">
                  <c:v>104712.85480509003</c:v>
                </c:pt>
                <c:pt idx="68">
                  <c:v>120226.44346174151</c:v>
                </c:pt>
                <c:pt idx="69">
                  <c:v>138038.42646028841</c:v>
                </c:pt>
                <c:pt idx="70">
                  <c:v>158489.31924611147</c:v>
                </c:pt>
                <c:pt idx="71">
                  <c:v>181970.08586099837</c:v>
                </c:pt>
                <c:pt idx="72">
                  <c:v>208929.61308540424</c:v>
                </c:pt>
                <c:pt idx="73">
                  <c:v>239883.29190194924</c:v>
                </c:pt>
                <c:pt idx="74">
                  <c:v>275422.87033381674</c:v>
                </c:pt>
                <c:pt idx="75">
                  <c:v>316227.76601683837</c:v>
                </c:pt>
                <c:pt idx="76">
                  <c:v>363078.05477010168</c:v>
                </c:pt>
                <c:pt idx="77">
                  <c:v>416869.38347033627</c:v>
                </c:pt>
                <c:pt idx="78">
                  <c:v>478630.09232263826</c:v>
                </c:pt>
                <c:pt idx="79">
                  <c:v>549540.87385762506</c:v>
                </c:pt>
                <c:pt idx="80">
                  <c:v>630957.34448019345</c:v>
                </c:pt>
                <c:pt idx="81">
                  <c:v>724435.96007498982</c:v>
                </c:pt>
                <c:pt idx="82">
                  <c:v>831763.77110267174</c:v>
                </c:pt>
                <c:pt idx="83">
                  <c:v>954992.58602143626</c:v>
                </c:pt>
                <c:pt idx="84">
                  <c:v>1096478.1961431869</c:v>
                </c:pt>
                <c:pt idx="85">
                  <c:v>1258925.4117941684</c:v>
                </c:pt>
                <c:pt idx="86">
                  <c:v>1445439.7707459307</c:v>
                </c:pt>
                <c:pt idx="87">
                  <c:v>1659586.9074375604</c:v>
                </c:pt>
                <c:pt idx="88">
                  <c:v>1905460.7179632459</c:v>
                </c:pt>
                <c:pt idx="89">
                  <c:v>2187761.6239495538</c:v>
                </c:pt>
                <c:pt idx="90">
                  <c:v>2511886.43150958</c:v>
                </c:pt>
                <c:pt idx="91">
                  <c:v>2884031.5031266091</c:v>
                </c:pt>
                <c:pt idx="92">
                  <c:v>3311311.2148259124</c:v>
                </c:pt>
                <c:pt idx="93">
                  <c:v>3801893.9632056188</c:v>
                </c:pt>
                <c:pt idx="94">
                  <c:v>4365158.3224016652</c:v>
                </c:pt>
                <c:pt idx="95">
                  <c:v>5011872.3362727351</c:v>
                </c:pt>
                <c:pt idx="96">
                  <c:v>5754399.3733715694</c:v>
                </c:pt>
                <c:pt idx="97">
                  <c:v>6606934.4800759563</c:v>
                </c:pt>
                <c:pt idx="98">
                  <c:v>7585775.750291842</c:v>
                </c:pt>
                <c:pt idx="99">
                  <c:v>8709635.8995608073</c:v>
                </c:pt>
                <c:pt idx="100">
                  <c:v>10000000</c:v>
                </c:pt>
              </c:numCache>
            </c:numRef>
          </c:xVal>
          <c:yVal>
            <c:numRef>
              <c:f>Graph_data!$V$7:$V$107</c:f>
              <c:numCache>
                <c:formatCode>General</c:formatCode>
                <c:ptCount val="101"/>
                <c:pt idx="0">
                  <c:v>-56.21614936163504</c:v>
                </c:pt>
                <c:pt idx="1">
                  <c:v>-59.835708514919105</c:v>
                </c:pt>
                <c:pt idx="2">
                  <c:v>-63.231946578722926</c:v>
                </c:pt>
                <c:pt idx="3">
                  <c:v>-66.378462902288263</c:v>
                </c:pt>
                <c:pt idx="4">
                  <c:v>-69.263438804685563</c:v>
                </c:pt>
                <c:pt idx="5">
                  <c:v>-71.887255176131646</c:v>
                </c:pt>
                <c:pt idx="6">
                  <c:v>-74.259590301216278</c:v>
                </c:pt>
                <c:pt idx="7">
                  <c:v>-76.396585724331487</c:v>
                </c:pt>
                <c:pt idx="8">
                  <c:v>-78.318420501183439</c:v>
                </c:pt>
                <c:pt idx="9">
                  <c:v>-80.047424909451294</c:v>
                </c:pt>
                <c:pt idx="10">
                  <c:v>-81.606728122544538</c:v>
                </c:pt>
                <c:pt idx="11">
                  <c:v>-83.019365036576545</c:v>
                </c:pt>
                <c:pt idx="12">
                  <c:v>-84.307744855894185</c:v>
                </c:pt>
                <c:pt idx="13">
                  <c:v>-85.493387696136551</c:v>
                </c:pt>
                <c:pt idx="14">
                  <c:v>-86.596850570135004</c:v>
                </c:pt>
                <c:pt idx="15">
                  <c:v>-87.637781929745842</c:v>
                </c:pt>
                <c:pt idx="16">
                  <c:v>-88.635060126190368</c:v>
                </c:pt>
                <c:pt idx="17">
                  <c:v>-89.606984073109075</c:v>
                </c:pt>
                <c:pt idx="18">
                  <c:v>-90.571493759097237</c:v>
                </c:pt>
                <c:pt idx="19">
                  <c:v>-91.54640431411093</c:v>
                </c:pt>
                <c:pt idx="20">
                  <c:v>-92.549640441917603</c:v>
                </c:pt>
                <c:pt idx="21">
                  <c:v>-93.599458428031923</c:v>
                </c:pt>
                <c:pt idx="22">
                  <c:v>-94.714640654602903</c:v>
                </c:pt>
                <c:pt idx="23">
                  <c:v>-95.914642421023657</c:v>
                </c:pt>
                <c:pt idx="24">
                  <c:v>-97.219662547444173</c:v>
                </c:pt>
                <c:pt idx="25">
                  <c:v>-98.650597406075221</c:v>
                </c:pt>
                <c:pt idx="26">
                  <c:v>-100.22882273022982</c:v>
                </c:pt>
                <c:pt idx="27">
                  <c:v>-101.97572988930108</c:v>
                </c:pt>
                <c:pt idx="28">
                  <c:v>-103.91192657605103</c:v>
                </c:pt>
                <c:pt idx="29">
                  <c:v>-106.05600315456405</c:v>
                </c:pt>
                <c:pt idx="30">
                  <c:v>-108.42277800262116</c:v>
                </c:pt>
                <c:pt idx="31">
                  <c:v>-111.02098699150081</c:v>
                </c:pt>
                <c:pt idx="32">
                  <c:v>-113.85049543428403</c:v>
                </c:pt>
                <c:pt idx="33">
                  <c:v>-116.89929805782525</c:v>
                </c:pt>
                <c:pt idx="34">
                  <c:v>-120.14081522247061</c:v>
                </c:pt>
                <c:pt idx="35">
                  <c:v>-123.5322162216726</c:v>
                </c:pt>
                <c:pt idx="36">
                  <c:v>-127.01456618115805</c:v>
                </c:pt>
                <c:pt idx="37">
                  <c:v>-130.51535558394329</c:v>
                </c:pt>
                <c:pt idx="38">
                  <c:v>-133.95338996707292</c:v>
                </c:pt>
                <c:pt idx="39">
                  <c:v>-137.24526243816416</c:v>
                </c:pt>
                <c:pt idx="40">
                  <c:v>-140.31205453733747</c:v>
                </c:pt>
                <c:pt idx="41">
                  <c:v>-143.08483182263868</c:v>
                </c:pt>
                <c:pt idx="42">
                  <c:v>-145.50796903165434</c:v>
                </c:pt>
                <c:pt idx="43">
                  <c:v>-147.54009562885301</c:v>
                </c:pt>
                <c:pt idx="44">
                  <c:v>-149.15312703671779</c:v>
                </c:pt>
                <c:pt idx="45">
                  <c:v>-150.33020522903738</c:v>
                </c:pt>
                <c:pt idx="46">
                  <c:v>-151.06340021419135</c:v>
                </c:pt>
                <c:pt idx="47">
                  <c:v>-151.3518466554448</c:v>
                </c:pt>
                <c:pt idx="48">
                  <c:v>-151.20074732152108</c:v>
                </c:pt>
                <c:pt idx="49">
                  <c:v>-150.62144765467545</c:v>
                </c:pt>
                <c:pt idx="50">
                  <c:v>-149.6325860706088</c:v>
                </c:pt>
                <c:pt idx="51">
                  <c:v>-148.26212545656338</c:v>
                </c:pt>
                <c:pt idx="52">
                  <c:v>-146.54984470063744</c:v>
                </c:pt>
                <c:pt idx="53">
                  <c:v>-144.54962528687159</c:v>
                </c:pt>
                <c:pt idx="54">
                  <c:v>-142.330684506154</c:v>
                </c:pt>
                <c:pt idx="55">
                  <c:v>-139.97692193556847</c:v>
                </c:pt>
                <c:pt idx="56">
                  <c:v>-137.58388744528165</c:v>
                </c:pt>
                <c:pt idx="57">
                  <c:v>-135.25354004344518</c:v>
                </c:pt>
                <c:pt idx="58">
                  <c:v>-133.08772072186551</c:v>
                </c:pt>
                <c:pt idx="59">
                  <c:v>-131.18174134222519</c:v>
                </c:pt>
                <c:pt idx="60">
                  <c:v>-129.61942667009311</c:v>
                </c:pt>
                <c:pt idx="61">
                  <c:v>-128.47037569259453</c:v>
                </c:pt>
                <c:pt idx="62">
                  <c:v>-127.78944740437166</c:v>
                </c:pt>
                <c:pt idx="63">
                  <c:v>-127.61788438933765</c:v>
                </c:pt>
                <c:pt idx="64">
                  <c:v>-127.98524967611343</c:v>
                </c:pt>
                <c:pt idx="65">
                  <c:v>-128.91143919194323</c:v>
                </c:pt>
                <c:pt idx="66">
                  <c:v>-130.40829913063351</c:v>
                </c:pt>
                <c:pt idx="67">
                  <c:v>-132.48067715926049</c:v>
                </c:pt>
                <c:pt idx="68">
                  <c:v>-135.12697445119366</c:v>
                </c:pt>
                <c:pt idx="69">
                  <c:v>-138.33941281791479</c:v>
                </c:pt>
                <c:pt idx="70">
                  <c:v>-142.10432008285002</c:v>
                </c:pt>
                <c:pt idx="71">
                  <c:v>-146.40283810422198</c:v>
                </c:pt>
                <c:pt idx="72">
                  <c:v>-151.21261140694514</c:v>
                </c:pt>
                <c:pt idx="73">
                  <c:v>-156.51114124525708</c:v>
                </c:pt>
                <c:pt idx="74">
                  <c:v>-162.28139859677742</c:v>
                </c:pt>
                <c:pt idx="75">
                  <c:v>-168.51984269613689</c:v>
                </c:pt>
                <c:pt idx="76">
                  <c:v>-175.24627865781792</c:v>
                </c:pt>
                <c:pt idx="77">
                  <c:v>-182.51423058621378</c:v>
                </c:pt>
                <c:pt idx="78">
                  <c:v>-190.41965131806069</c:v>
                </c:pt>
                <c:pt idx="79">
                  <c:v>-199.10407631794993</c:v>
                </c:pt>
                <c:pt idx="80">
                  <c:v>-208.74429711651129</c:v>
                </c:pt>
                <c:pt idx="81">
                  <c:v>-219.51353449826968</c:v>
                </c:pt>
                <c:pt idx="82">
                  <c:v>-231.49439773204739</c:v>
                </c:pt>
                <c:pt idx="83">
                  <c:v>-244.54368349525805</c:v>
                </c:pt>
                <c:pt idx="84">
                  <c:v>-258.18174736713451</c:v>
                </c:pt>
                <c:pt idx="85">
                  <c:v>-271.65179162294618</c:v>
                </c:pt>
                <c:pt idx="86">
                  <c:v>-284.19068847305903</c:v>
                </c:pt>
                <c:pt idx="87">
                  <c:v>-295.30663062374992</c:v>
                </c:pt>
                <c:pt idx="88">
                  <c:v>-304.85043090515597</c:v>
                </c:pt>
                <c:pt idx="89">
                  <c:v>-312.91144459731504</c:v>
                </c:pt>
                <c:pt idx="90">
                  <c:v>-319.68363119241059</c:v>
                </c:pt>
                <c:pt idx="91">
                  <c:v>-325.37844900347358</c:v>
                </c:pt>
                <c:pt idx="92">
                  <c:v>-330.18607665767126</c:v>
                </c:pt>
                <c:pt idx="93">
                  <c:v>-334.26463379790198</c:v>
                </c:pt>
                <c:pt idx="94">
                  <c:v>-337.74145411191597</c:v>
                </c:pt>
                <c:pt idx="95">
                  <c:v>-340.71813555582304</c:v>
                </c:pt>
                <c:pt idx="96">
                  <c:v>-343.27592980602805</c:v>
                </c:pt>
                <c:pt idx="97">
                  <c:v>-345.4803377279037</c:v>
                </c:pt>
                <c:pt idx="98">
                  <c:v>-347.38471035113719</c:v>
                </c:pt>
                <c:pt idx="99">
                  <c:v>-349.03297179856395</c:v>
                </c:pt>
                <c:pt idx="100">
                  <c:v>-350.46165242881096</c:v>
                </c:pt>
              </c:numCache>
            </c:numRef>
          </c:yVal>
          <c:smooth val="1"/>
        </c:ser>
        <c:dLbls>
          <c:showLegendKey val="0"/>
          <c:showVal val="0"/>
          <c:showCatName val="0"/>
          <c:showSerName val="0"/>
          <c:showPercent val="0"/>
          <c:showBubbleSize val="0"/>
        </c:dLbls>
        <c:axId val="50183552"/>
        <c:axId val="50202112"/>
      </c:scatterChart>
      <c:valAx>
        <c:axId val="50183552"/>
        <c:scaling>
          <c:logBase val="10"/>
          <c:orientation val="minMax"/>
          <c:max val="10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Freq (Hz)</a:t>
                </a:r>
              </a:p>
            </c:rich>
          </c:tx>
          <c:layout>
            <c:manualLayout>
              <c:xMode val="edge"/>
              <c:yMode val="edge"/>
              <c:x val="0.44313807832844432"/>
              <c:y val="0.894739297938634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202112"/>
        <c:crosses val="autoZero"/>
        <c:crossBetween val="midCat"/>
        <c:majorUnit val="100"/>
        <c:minorUnit val="100"/>
      </c:valAx>
      <c:valAx>
        <c:axId val="50202112"/>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Phase (degrees)</a:t>
                </a:r>
              </a:p>
            </c:rich>
          </c:tx>
          <c:layout>
            <c:manualLayout>
              <c:xMode val="edge"/>
              <c:yMode val="edge"/>
              <c:x val="3.333333333333334E-2"/>
              <c:y val="0.385966140197389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0183552"/>
        <c:crossesAt val="0.1"/>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91474</xdr:colOff>
      <xdr:row>55</xdr:row>
      <xdr:rowOff>127166</xdr:rowOff>
    </xdr:from>
    <xdr:to>
      <xdr:col>5</xdr:col>
      <xdr:colOff>244931</xdr:colOff>
      <xdr:row>63</xdr:row>
      <xdr:rowOff>140443</xdr:rowOff>
    </xdr:to>
    <xdr:sp macro="" textlink="">
      <xdr:nvSpPr>
        <xdr:cNvPr id="2" name="Text Box 85"/>
        <xdr:cNvSpPr txBox="1">
          <a:spLocks noChangeArrowheads="1"/>
        </xdr:cNvSpPr>
      </xdr:nvSpPr>
      <xdr:spPr bwMode="auto">
        <a:xfrm>
          <a:off x="91474" y="10699916"/>
          <a:ext cx="5601757" cy="1308677"/>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NOTICE:</a:t>
          </a:r>
        </a:p>
        <a:p>
          <a:pPr algn="l" rtl="0">
            <a:defRPr sz="1000"/>
          </a:pPr>
          <a:r>
            <a:rPr lang="en-US" sz="1000" b="1" i="0" u="none" strike="noStrike" baseline="0">
              <a:solidFill>
                <a:srgbClr val="FF0000"/>
              </a:solidFill>
              <a:latin typeface="Arial"/>
              <a:cs typeface="Arial"/>
            </a:rPr>
            <a:t>This worksheet is provided as an aid in designing circuits with the MAX16990/2.  The output calculations provided are generally based on first-order, linear approximations.  As with any design tool, the information and calculations provided herein should always be independently verified with other design tools, the datasheet and appropriate testing. </a:t>
          </a:r>
        </a:p>
      </xdr:txBody>
    </xdr:sp>
    <xdr:clientData/>
  </xdr:twoCellAnchor>
  <xdr:twoCellAnchor editAs="oneCell">
    <xdr:from>
      <xdr:col>7</xdr:col>
      <xdr:colOff>1633</xdr:colOff>
      <xdr:row>40</xdr:row>
      <xdr:rowOff>24774</xdr:rowOff>
    </xdr:from>
    <xdr:to>
      <xdr:col>11</xdr:col>
      <xdr:colOff>361949</xdr:colOff>
      <xdr:row>57</xdr:row>
      <xdr:rowOff>61911</xdr:rowOff>
    </xdr:to>
    <xdr:sp macro="" textlink="">
      <xdr:nvSpPr>
        <xdr:cNvPr id="3" name="Text Box 86"/>
        <xdr:cNvSpPr txBox="1">
          <a:spLocks noChangeArrowheads="1"/>
        </xdr:cNvSpPr>
      </xdr:nvSpPr>
      <xdr:spPr bwMode="auto">
        <a:xfrm>
          <a:off x="6502446" y="8299618"/>
          <a:ext cx="5599066" cy="2894637"/>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INSTRUCTIONS:</a:t>
          </a:r>
        </a:p>
        <a:p>
          <a:pPr algn="l" rtl="0">
            <a:defRPr sz="1000"/>
          </a:pPr>
          <a:r>
            <a:rPr lang="en-US" sz="1000" b="1" i="0" u="none" strike="noStrike" baseline="0">
              <a:solidFill>
                <a:srgbClr val="000000"/>
              </a:solidFill>
              <a:latin typeface="Arial"/>
              <a:cs typeface="Arial"/>
            </a:rPr>
            <a:t>1)  Enter the values for design input parameters 1-15.</a:t>
          </a:r>
        </a:p>
        <a:p>
          <a:pPr algn="l" rtl="0">
            <a:defRPr sz="1000"/>
          </a:pPr>
          <a:r>
            <a:rPr lang="en-US" sz="1000" b="1" i="0" u="none" strike="noStrike" baseline="0">
              <a:solidFill>
                <a:srgbClr val="000000"/>
              </a:solidFill>
              <a:latin typeface="Arial"/>
              <a:cs typeface="Arial"/>
            </a:rPr>
            <a:t>2)  Select an appropriate inductance value that is greater than the calculated critical inductance to ensure continuous conduction over the required output current range (Note: the output calculations are only valid for continuous conduction mode).</a:t>
          </a:r>
        </a:p>
        <a:p>
          <a:pPr algn="l" rtl="0">
            <a:defRPr sz="1000"/>
          </a:pPr>
          <a:r>
            <a:rPr lang="en-US" sz="1000" b="1" i="0" u="none" strike="noStrike" baseline="0">
              <a:solidFill>
                <a:srgbClr val="000000"/>
              </a:solidFill>
              <a:latin typeface="Arial"/>
              <a:cs typeface="Arial"/>
            </a:rPr>
            <a:t>3)  Enter the remaining design input parameters (16-18) based on the design calculations.</a:t>
          </a:r>
        </a:p>
        <a:p>
          <a:pPr algn="l" rtl="0">
            <a:defRPr sz="1000"/>
          </a:pPr>
          <a:r>
            <a:rPr lang="en-US" sz="1000" b="1" i="0" u="none" strike="noStrike" baseline="0">
              <a:solidFill>
                <a:srgbClr val="000000"/>
              </a:solidFill>
              <a:latin typeface="Arial"/>
              <a:cs typeface="Arial"/>
            </a:rPr>
            <a:t>4)  Adjust the initial efficiency estimate, E, if necessary based on the calculated efficiency, Ecalc.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1" i="0" u="none" strike="noStrike" baseline="0">
              <a:solidFill>
                <a:srgbClr val="000000"/>
              </a:solidFill>
              <a:latin typeface="Arial"/>
              <a:cs typeface="Arial"/>
            </a:rPr>
            <a:t>5)  Go to compensation section </a:t>
          </a:r>
          <a:r>
            <a:rPr kumimoji="0" lang="en-US" sz="1000" b="1" i="0" u="none" strike="noStrike" kern="0" cap="none" spc="0" normalizeH="0" baseline="0" noProof="0">
              <a:ln>
                <a:noFill/>
              </a:ln>
              <a:solidFill>
                <a:srgbClr val="000000"/>
              </a:solidFill>
              <a:effectLst/>
              <a:uLnTx/>
              <a:uFillTx/>
              <a:latin typeface="Arial"/>
              <a:ea typeface="+mn-ea"/>
              <a:cs typeface="Arial"/>
            </a:rPr>
            <a:t>and enter the values for compensation input parameters 1-5 (minimum input voltage and maximum output current is the worst case scenario).</a:t>
          </a:r>
        </a:p>
        <a:p>
          <a:pPr rtl="0"/>
          <a:r>
            <a:rPr lang="en-US" sz="1100" b="1" i="0" baseline="0">
              <a:latin typeface="+mn-lt"/>
              <a:ea typeface="+mn-ea"/>
              <a:cs typeface="+mn-cs"/>
            </a:rPr>
            <a:t>6) Select an appropriate target crossover ferquency that is lower than the maximum crossover frequency.</a:t>
          </a:r>
          <a:endParaRPr lang="en-US" sz="1000"/>
        </a:p>
        <a:p>
          <a:r>
            <a:rPr lang="en-US" sz="1100" b="1" i="0" baseline="0">
              <a:latin typeface="+mn-lt"/>
              <a:ea typeface="+mn-ea"/>
              <a:cs typeface="+mn-cs"/>
            </a:rPr>
            <a:t>7)  Enter the remaining compensation input parameters (6-7) based on the compnsation calculations</a:t>
          </a:r>
        </a:p>
        <a:p>
          <a:r>
            <a:rPr lang="en-US" sz="1100" b="1" i="0" baseline="0">
              <a:latin typeface="+mn-lt"/>
              <a:ea typeface="+mn-ea"/>
              <a:cs typeface="+mn-cs"/>
            </a:rPr>
            <a:t>8) If the Output Capcitor ESR Zero is lower than 10*Target corssover frequency add C2comp capacitor.</a:t>
          </a:r>
        </a:p>
        <a:p>
          <a:endParaRPr lang="en-US" sz="1000" b="1" i="0" u="none" strike="noStrike" baseline="0">
            <a:solidFill>
              <a:srgbClr val="000000"/>
            </a:solidFill>
            <a:latin typeface="Arial"/>
            <a:cs typeface="Arial"/>
          </a:endParaRPr>
        </a:p>
      </xdr:txBody>
    </xdr:sp>
    <xdr:clientData/>
  </xdr:twoCellAnchor>
  <xdr:twoCellAnchor>
    <xdr:from>
      <xdr:col>1</xdr:col>
      <xdr:colOff>704850</xdr:colOff>
      <xdr:row>0</xdr:row>
      <xdr:rowOff>114300</xdr:rowOff>
    </xdr:from>
    <xdr:to>
      <xdr:col>10</xdr:col>
      <xdr:colOff>171450</xdr:colOff>
      <xdr:row>2</xdr:row>
      <xdr:rowOff>95250</xdr:rowOff>
    </xdr:to>
    <xdr:sp macro="" textlink="">
      <xdr:nvSpPr>
        <xdr:cNvPr id="5" name="Text Box 88"/>
        <xdr:cNvSpPr txBox="1">
          <a:spLocks noChangeArrowheads="1"/>
        </xdr:cNvSpPr>
      </xdr:nvSpPr>
      <xdr:spPr bwMode="auto">
        <a:xfrm>
          <a:off x="3190875" y="114300"/>
          <a:ext cx="8077200" cy="400050"/>
        </a:xfrm>
        <a:prstGeom prst="rect">
          <a:avLst/>
        </a:prstGeom>
        <a:noFill/>
        <a:ln w="9525">
          <a:no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000000"/>
              </a:solidFill>
              <a:latin typeface="Arial"/>
              <a:cs typeface="Arial"/>
            </a:rPr>
            <a:t>MAX16990/MAX16992 Boost Design Worksheet</a:t>
          </a:r>
          <a:r>
            <a:rPr lang="en-US" sz="1400" b="1" i="0" u="none" strike="noStrike" baseline="0">
              <a:solidFill>
                <a:srgbClr val="000000"/>
              </a:solidFill>
              <a:latin typeface="Arial"/>
              <a:cs typeface="Arial"/>
            </a:rPr>
            <a:t> </a:t>
          </a:r>
          <a:r>
            <a:rPr lang="en-US" sz="1200" b="1" i="0" u="none" strike="noStrike" baseline="0">
              <a:solidFill>
                <a:srgbClr val="000000"/>
              </a:solidFill>
              <a:latin typeface="Arial"/>
              <a:cs typeface="Arial"/>
            </a:rPr>
            <a:t>(Continuous Conduction Mode) </a:t>
          </a:r>
          <a:endParaRPr lang="en-US" sz="800" b="1" i="0" u="none" strike="noStrike" baseline="0">
            <a:solidFill>
              <a:srgbClr val="000000"/>
            </a:solidFill>
            <a:latin typeface="Arial"/>
            <a:cs typeface="Arial"/>
          </a:endParaRPr>
        </a:p>
      </xdr:txBody>
    </xdr:sp>
    <xdr:clientData/>
  </xdr:twoCellAnchor>
  <xdr:twoCellAnchor>
    <xdr:from>
      <xdr:col>20</xdr:col>
      <xdr:colOff>211666</xdr:colOff>
      <xdr:row>3</xdr:row>
      <xdr:rowOff>158750</xdr:rowOff>
    </xdr:from>
    <xdr:to>
      <xdr:col>24</xdr:col>
      <xdr:colOff>310091</xdr:colOff>
      <xdr:row>26</xdr:row>
      <xdr:rowOff>11641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221193</xdr:colOff>
      <xdr:row>26</xdr:row>
      <xdr:rowOff>80432</xdr:rowOff>
    </xdr:from>
    <xdr:to>
      <xdr:col>24</xdr:col>
      <xdr:colOff>348192</xdr:colOff>
      <xdr:row>50</xdr:row>
      <xdr:rowOff>17991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23812</xdr:colOff>
      <xdr:row>28</xdr:row>
      <xdr:rowOff>140496</xdr:rowOff>
    </xdr:from>
    <xdr:to>
      <xdr:col>6</xdr:col>
      <xdr:colOff>71437</xdr:colOff>
      <xdr:row>62</xdr:row>
      <xdr:rowOff>7146</xdr:rowOff>
    </xdr:to>
    <xdr:pic>
      <xdr:nvPicPr>
        <xdr:cNvPr id="2163" name="Picture 115"/>
        <xdr:cNvPicPr>
          <a:picLocks noChangeAspect="1" noChangeArrowheads="1"/>
        </xdr:cNvPicPr>
      </xdr:nvPicPr>
      <xdr:blipFill>
        <a:blip xmlns:r="http://schemas.openxmlformats.org/officeDocument/2006/relationships" r:embed="rId3" cstate="print"/>
        <a:srcRect/>
        <a:stretch>
          <a:fillRect/>
        </a:stretch>
      </xdr:blipFill>
      <xdr:spPr bwMode="auto">
        <a:xfrm>
          <a:off x="23812" y="5855496"/>
          <a:ext cx="6076950" cy="5898356"/>
        </a:xfrm>
        <a:prstGeom prst="rect">
          <a:avLst/>
        </a:prstGeom>
        <a:noFill/>
      </xdr:spPr>
    </xdr:pic>
    <xdr:clientData/>
  </xdr:twoCellAnchor>
  <xdr:twoCellAnchor>
    <xdr:from>
      <xdr:col>18</xdr:col>
      <xdr:colOff>523873</xdr:colOff>
      <xdr:row>0</xdr:row>
      <xdr:rowOff>171450</xdr:rowOff>
    </xdr:from>
    <xdr:to>
      <xdr:col>22</xdr:col>
      <xdr:colOff>392907</xdr:colOff>
      <xdr:row>2</xdr:row>
      <xdr:rowOff>152400</xdr:rowOff>
    </xdr:to>
    <xdr:sp macro="" textlink="">
      <xdr:nvSpPr>
        <xdr:cNvPr id="14" name="Text Box 88"/>
        <xdr:cNvSpPr txBox="1">
          <a:spLocks noChangeArrowheads="1"/>
        </xdr:cNvSpPr>
      </xdr:nvSpPr>
      <xdr:spPr bwMode="auto">
        <a:xfrm>
          <a:off x="17668873" y="171450"/>
          <a:ext cx="3690940" cy="397669"/>
        </a:xfrm>
        <a:prstGeom prst="rect">
          <a:avLst/>
        </a:prstGeom>
        <a:noFill/>
        <a:ln w="9525">
          <a:noFill/>
          <a:miter lim="800000"/>
          <a:headEnd/>
          <a:tailEnd/>
        </a:ln>
      </xdr:spPr>
      <xdr:txBody>
        <a:bodyPr vertOverflow="clip" wrap="square" lIns="36576" tIns="32004"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Arial"/>
              <a:ea typeface="+mn-ea"/>
              <a:cs typeface="Arial"/>
            </a:rPr>
            <a:t>MAX16990/MAX16992 </a:t>
          </a:r>
          <a:r>
            <a:rPr lang="en-US" sz="1600" b="1" i="0" u="none" strike="noStrike" baseline="0">
              <a:solidFill>
                <a:srgbClr val="000000"/>
              </a:solidFill>
              <a:latin typeface="Arial"/>
              <a:cs typeface="Arial"/>
            </a:rPr>
            <a:t>Compensation</a:t>
          </a:r>
          <a:endParaRPr lang="en-US" sz="8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572558</xdr:colOff>
      <xdr:row>0</xdr:row>
      <xdr:rowOff>11641</xdr:rowOff>
    </xdr:from>
    <xdr:to>
      <xdr:col>13</xdr:col>
      <xdr:colOff>373592</xdr:colOff>
      <xdr:row>24</xdr:row>
      <xdr:rowOff>20107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560918</xdr:colOff>
      <xdr:row>24</xdr:row>
      <xdr:rowOff>75141</xdr:rowOff>
    </xdr:from>
    <xdr:to>
      <xdr:col>13</xdr:col>
      <xdr:colOff>361951</xdr:colOff>
      <xdr:row>47</xdr:row>
      <xdr:rowOff>73025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534459</xdr:colOff>
      <xdr:row>0</xdr:row>
      <xdr:rowOff>2117</xdr:rowOff>
    </xdr:from>
    <xdr:to>
      <xdr:col>20</xdr:col>
      <xdr:colOff>345018</xdr:colOff>
      <xdr:row>24</xdr:row>
      <xdr:rowOff>10583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533402</xdr:colOff>
      <xdr:row>24</xdr:row>
      <xdr:rowOff>132291</xdr:rowOff>
    </xdr:from>
    <xdr:to>
      <xdr:col>20</xdr:col>
      <xdr:colOff>372535</xdr:colOff>
      <xdr:row>47</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6</xdr:col>
      <xdr:colOff>420158</xdr:colOff>
      <xdr:row>24</xdr:row>
      <xdr:rowOff>11641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9527</xdr:colOff>
      <xdr:row>24</xdr:row>
      <xdr:rowOff>80432</xdr:rowOff>
    </xdr:from>
    <xdr:to>
      <xdr:col>6</xdr:col>
      <xdr:colOff>458259</xdr:colOff>
      <xdr:row>47</xdr:row>
      <xdr:rowOff>81491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a.longobardi/Desktop/WORK/Device/Antenna%20Phantom%20Power/MAX16948_ATO357_AP26/AppNote/MAX16948%20Calculator_1223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X16948"/>
      <sheetName val="STANDARD RESISTOR TABLE"/>
      <sheetName val="MAX16948 EC"/>
      <sheetName val="Sheet1"/>
    </sheetNames>
    <sheetDataSet>
      <sheetData sheetId="0">
        <row r="7">
          <cell r="C7">
            <v>8.5</v>
          </cell>
          <cell r="F7">
            <v>14</v>
          </cell>
        </row>
        <row r="8">
          <cell r="C8">
            <v>560</v>
          </cell>
          <cell r="F8">
            <v>976</v>
          </cell>
        </row>
        <row r="9">
          <cell r="C9">
            <v>1</v>
          </cell>
          <cell r="F9">
            <v>0</v>
          </cell>
        </row>
        <row r="11">
          <cell r="C11">
            <v>2000</v>
          </cell>
          <cell r="F11">
            <v>12688</v>
          </cell>
        </row>
        <row r="19">
          <cell r="C19">
            <v>200</v>
          </cell>
          <cell r="F19">
            <v>100</v>
          </cell>
        </row>
        <row r="20">
          <cell r="C20">
            <v>1</v>
          </cell>
          <cell r="F20">
            <v>1</v>
          </cell>
        </row>
        <row r="22">
          <cell r="C22">
            <v>9090</v>
          </cell>
          <cell r="F22">
            <v>3777</v>
          </cell>
        </row>
        <row r="30">
          <cell r="C30">
            <v>5</v>
          </cell>
          <cell r="F30">
            <v>3.3</v>
          </cell>
        </row>
        <row r="31">
          <cell r="C31">
            <v>1</v>
          </cell>
          <cell r="F31">
            <v>1</v>
          </cell>
        </row>
        <row r="33">
          <cell r="C33">
            <v>5200</v>
          </cell>
          <cell r="F33">
            <v>6650</v>
          </cell>
        </row>
        <row r="42">
          <cell r="C42">
            <v>20</v>
          </cell>
          <cell r="F42">
            <v>5</v>
          </cell>
        </row>
        <row r="43">
          <cell r="C43">
            <v>190</v>
          </cell>
          <cell r="F43">
            <v>95</v>
          </cell>
        </row>
        <row r="44">
          <cell r="C44">
            <v>0.2</v>
          </cell>
          <cell r="F44">
            <v>0.1</v>
          </cell>
        </row>
        <row r="45">
          <cell r="C45">
            <v>4.8</v>
          </cell>
          <cell r="F45">
            <v>3</v>
          </cell>
        </row>
        <row r="46">
          <cell r="C46">
            <v>1</v>
          </cell>
          <cell r="F46">
            <v>1</v>
          </cell>
        </row>
        <row r="48">
          <cell r="C48">
            <v>3052.6315789473683</v>
          </cell>
          <cell r="F48">
            <v>2315.7894736842109</v>
          </cell>
        </row>
        <row r="49">
          <cell r="C49">
            <v>2000</v>
          </cell>
          <cell r="F49">
            <v>4000</v>
          </cell>
        </row>
        <row r="50">
          <cell r="C50">
            <v>147</v>
          </cell>
        </row>
        <row r="51">
          <cell r="C51">
            <v>3010</v>
          </cell>
          <cell r="F51">
            <v>2320</v>
          </cell>
        </row>
        <row r="52">
          <cell r="C52">
            <v>2000</v>
          </cell>
          <cell r="F52">
            <v>4020</v>
          </cell>
        </row>
      </sheetData>
      <sheetData sheetId="1"/>
      <sheetData sheetId="2">
        <row r="2">
          <cell r="A2">
            <v>0.97</v>
          </cell>
          <cell r="B2">
            <v>1</v>
          </cell>
          <cell r="C2">
            <v>1.03</v>
          </cell>
          <cell r="E2">
            <v>1980</v>
          </cell>
          <cell r="F2">
            <v>2020</v>
          </cell>
        </row>
        <row r="4">
          <cell r="A4">
            <v>2.375</v>
          </cell>
          <cell r="B4">
            <v>2.5</v>
          </cell>
          <cell r="C4">
            <v>2.625</v>
          </cell>
          <cell r="E4">
            <v>554.4</v>
          </cell>
          <cell r="F4">
            <v>565.6</v>
          </cell>
        </row>
        <row r="6">
          <cell r="A6">
            <v>0.48499999999999999</v>
          </cell>
          <cell r="B6">
            <v>0.5</v>
          </cell>
          <cell r="C6">
            <v>0.51500000000000001</v>
          </cell>
          <cell r="E6">
            <v>12688</v>
          </cell>
          <cell r="F6">
            <v>12688</v>
          </cell>
        </row>
        <row r="8">
          <cell r="E8">
            <v>976</v>
          </cell>
          <cell r="F8">
            <v>976</v>
          </cell>
        </row>
        <row r="10">
          <cell r="E10">
            <v>8999.1</v>
          </cell>
          <cell r="F10">
            <v>9180.9</v>
          </cell>
        </row>
        <row r="12">
          <cell r="E12">
            <v>3739.23</v>
          </cell>
          <cell r="F12">
            <v>3814.77</v>
          </cell>
        </row>
        <row r="14">
          <cell r="E14">
            <v>5148</v>
          </cell>
          <cell r="F14">
            <v>5252</v>
          </cell>
        </row>
        <row r="16">
          <cell r="E16">
            <v>6583.5</v>
          </cell>
          <cell r="F16">
            <v>6716.5</v>
          </cell>
        </row>
        <row r="20">
          <cell r="E20">
            <v>2979.9</v>
          </cell>
          <cell r="F20">
            <v>3040.1</v>
          </cell>
        </row>
        <row r="22">
          <cell r="E22">
            <v>1980</v>
          </cell>
          <cell r="F22">
            <v>2020</v>
          </cell>
        </row>
        <row r="26">
          <cell r="E26">
            <v>2296.8000000000002</v>
          </cell>
          <cell r="F26">
            <v>2343.1999999999998</v>
          </cell>
        </row>
        <row r="28">
          <cell r="E28">
            <v>3979.8</v>
          </cell>
          <cell r="F28">
            <v>4060.2</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9"/>
  <sheetViews>
    <sheetView showGridLines="0" tabSelected="1" zoomScale="80" zoomScaleNormal="80" workbookViewId="0"/>
  </sheetViews>
  <sheetFormatPr defaultColWidth="8.85546875" defaultRowHeight="12.75" x14ac:dyDescent="0.2"/>
  <cols>
    <col min="1" max="1" width="37.28515625" style="1" customWidth="1"/>
    <col min="2" max="2" width="10.7109375" style="1" customWidth="1"/>
    <col min="3" max="3" width="10.85546875" style="1" customWidth="1"/>
    <col min="4" max="4" width="12" style="1" customWidth="1"/>
    <col min="5" max="5" width="10.85546875" style="1" customWidth="1"/>
    <col min="6" max="6" width="8.7109375" style="1" customWidth="1"/>
    <col min="7" max="7" width="7" style="1" customWidth="1"/>
    <col min="8" max="8" width="48.42578125" style="1" bestFit="1" customWidth="1"/>
    <col min="9" max="9" width="12.7109375" style="1" customWidth="1"/>
    <col min="10" max="10" width="8.5703125" style="1" customWidth="1"/>
    <col min="11" max="11" width="9" style="1" customWidth="1"/>
    <col min="12" max="12" width="8.42578125" style="1" bestFit="1" customWidth="1"/>
    <col min="13" max="13" width="12.28515625" style="1" bestFit="1" customWidth="1"/>
    <col min="14" max="14" width="8" style="1" customWidth="1"/>
    <col min="15" max="16" width="0" style="1" hidden="1" customWidth="1"/>
    <col min="17" max="17" width="41.5703125" style="1" customWidth="1"/>
    <col min="18" max="18" width="10.7109375" style="1" customWidth="1"/>
    <col min="19" max="19" width="14.140625" style="1" customWidth="1"/>
    <col min="20" max="20" width="8.85546875" style="1" customWidth="1"/>
    <col min="21" max="21" width="8.85546875" style="1"/>
    <col min="22" max="22" width="25.42578125" style="1" customWidth="1"/>
    <col min="23" max="23" width="16.42578125" style="1" customWidth="1"/>
    <col min="24" max="16384" width="8.85546875" style="1"/>
  </cols>
  <sheetData>
    <row r="1" spans="1:20" ht="18" x14ac:dyDescent="0.25">
      <c r="B1" s="71"/>
    </row>
    <row r="2" spans="1:20" ht="15" x14ac:dyDescent="0.25">
      <c r="O2" t="s">
        <v>64</v>
      </c>
      <c r="P2" t="s">
        <v>65</v>
      </c>
    </row>
    <row r="3" spans="1:20" x14ac:dyDescent="0.2">
      <c r="O3" s="1">
        <f>support!E2</f>
        <v>1000</v>
      </c>
      <c r="P3" s="1">
        <f>support!F2</f>
        <v>2500</v>
      </c>
    </row>
    <row r="4" spans="1:20" ht="13.5" thickBot="1" x14ac:dyDescent="0.25"/>
    <row r="5" spans="1:20" ht="16.5" thickBot="1" x14ac:dyDescent="0.3">
      <c r="A5" s="77" t="s">
        <v>60</v>
      </c>
      <c r="B5" s="70" t="s">
        <v>58</v>
      </c>
      <c r="C5" s="69" t="s">
        <v>57</v>
      </c>
      <c r="D5" s="69" t="s">
        <v>56</v>
      </c>
      <c r="E5" s="69" t="s">
        <v>55</v>
      </c>
      <c r="F5" s="68" t="s">
        <v>54</v>
      </c>
      <c r="H5" s="67" t="s">
        <v>59</v>
      </c>
      <c r="I5" s="66" t="s">
        <v>58</v>
      </c>
      <c r="J5" s="66" t="s">
        <v>57</v>
      </c>
      <c r="K5" s="66" t="s">
        <v>56</v>
      </c>
      <c r="L5" s="66" t="s">
        <v>55</v>
      </c>
      <c r="M5" s="65" t="s">
        <v>54</v>
      </c>
      <c r="Q5" s="70" t="s">
        <v>60</v>
      </c>
      <c r="R5" s="69" t="s">
        <v>58</v>
      </c>
      <c r="S5" s="124" t="s">
        <v>56</v>
      </c>
      <c r="T5" s="125" t="s">
        <v>54</v>
      </c>
    </row>
    <row r="6" spans="1:20" ht="16.5" thickTop="1" x14ac:dyDescent="0.3">
      <c r="A6" s="78" t="s">
        <v>61</v>
      </c>
      <c r="B6" s="64" t="s">
        <v>53</v>
      </c>
      <c r="C6" s="174"/>
      <c r="D6" s="63" t="s">
        <v>63</v>
      </c>
      <c r="E6" s="174"/>
      <c r="F6" s="62"/>
      <c r="H6" s="61" t="s">
        <v>52</v>
      </c>
      <c r="I6" s="60" t="s">
        <v>51</v>
      </c>
      <c r="J6" s="59">
        <f>IF((Vo-Vin_mx+Vd_mn)/(Vo+Vd_mn)&gt;0,(Vo-Vin_mx+Vd_mn)/(Vo+Vd_mn),0)</f>
        <v>0.29411764705882354</v>
      </c>
      <c r="K6" s="59">
        <f>IF((Vo-Vin+Vd)/(Vo+Vd-(Vo*Io/(Vin*E))*(Rds_on+Rsense))&lt;1,(Vo-Vin+Vd)/(Vo+Vd-(IL_avg)*(Rds_on+Rsense)),1)</f>
        <v>0.47724259832081312</v>
      </c>
      <c r="L6" s="59">
        <f>IF((Vo-Vin_mn+Vd_mx)/(Vo+Vd_mx-(IL_avg_mx)*(Rds_on_mx+Rsense_mx))&lt;1,(Vo-Vin_mn+Vd_mx)/(Vo+Vd_mx-(IL_avg_mx)*(Rds_on_mx+Rsense_mx)),1)</f>
        <v>0.59897318881916706</v>
      </c>
      <c r="M6" s="58"/>
      <c r="N6" s="74"/>
      <c r="Q6" s="64" t="s">
        <v>107</v>
      </c>
      <c r="R6" s="131" t="s">
        <v>190</v>
      </c>
      <c r="S6" s="169">
        <v>3.5</v>
      </c>
      <c r="T6" s="62" t="s">
        <v>20</v>
      </c>
    </row>
    <row r="7" spans="1:20" ht="15.75" x14ac:dyDescent="0.3">
      <c r="A7" s="79" t="s">
        <v>50</v>
      </c>
      <c r="B7" s="46" t="s">
        <v>144</v>
      </c>
      <c r="C7" s="52">
        <v>3.5</v>
      </c>
      <c r="D7" s="52">
        <v>4.5</v>
      </c>
      <c r="E7" s="52">
        <v>6</v>
      </c>
      <c r="F7" s="44" t="s">
        <v>20</v>
      </c>
      <c r="H7" s="12" t="s">
        <v>49</v>
      </c>
      <c r="I7" s="11" t="s">
        <v>159</v>
      </c>
      <c r="J7" s="10"/>
      <c r="K7" s="10"/>
      <c r="L7" s="57">
        <f>IF(AND(Dmn&lt;=0.33,Dmx&gt;=0.33),(1000*E*0.5*(Vo+Vd_mx)*0.33*(1-0.33)^2/(Io_mn*F)),MAX((1000*E*0.5*(Vo+Vd_mx)*Dmn*(1-Dmn)^2/(Io_mn*F)),(1000*0.5*E*(Vo+Vd_mx)*Dmx*(1-Dmx)^2/(Io_mn*F))))</f>
        <v>0.25755637499999995</v>
      </c>
      <c r="M7" s="7" t="s">
        <v>157</v>
      </c>
      <c r="N7" s="38"/>
      <c r="Q7" s="46" t="s">
        <v>106</v>
      </c>
      <c r="R7" s="76" t="s">
        <v>191</v>
      </c>
      <c r="S7" s="170">
        <v>2</v>
      </c>
      <c r="T7" s="44" t="s">
        <v>8</v>
      </c>
    </row>
    <row r="8" spans="1:20" ht="16.5" thickBot="1" x14ac:dyDescent="0.35">
      <c r="A8" s="79" t="s">
        <v>48</v>
      </c>
      <c r="B8" s="46" t="s">
        <v>145</v>
      </c>
      <c r="C8" s="175"/>
      <c r="D8" s="52">
        <v>8</v>
      </c>
      <c r="E8" s="175"/>
      <c r="F8" s="44" t="s">
        <v>20</v>
      </c>
      <c r="H8" s="56" t="s">
        <v>72</v>
      </c>
      <c r="I8" s="33" t="s">
        <v>160</v>
      </c>
      <c r="J8" s="32"/>
      <c r="K8" s="32"/>
      <c r="L8" s="55">
        <f>IF(AND(Dmn&lt;=0.33,Dmx&gt;=0.33),1000*0.5*E*(Vo+Vd_mx)*0.33*(1-0.33)^2/(Lmn*F),MAX((1000*0.5*E*(Vo+Vd_mx)*Dmn*(1-Dmn)^2/(Lmn*F)),((1000*0.5*E*(Vo+Vd_mx)*Dmx*(1-Dmx)^2)/(Lmn*F))))</f>
        <v>0.54799228723404236</v>
      </c>
      <c r="M8" s="29" t="s">
        <v>8</v>
      </c>
      <c r="Q8" s="64" t="s">
        <v>129</v>
      </c>
      <c r="R8" s="76" t="s">
        <v>192</v>
      </c>
      <c r="S8" s="169">
        <v>47</v>
      </c>
      <c r="T8" s="62" t="s">
        <v>158</v>
      </c>
    </row>
    <row r="9" spans="1:20" ht="16.5" thickBot="1" x14ac:dyDescent="0.35">
      <c r="A9" s="79" t="s">
        <v>47</v>
      </c>
      <c r="B9" s="46" t="s">
        <v>146</v>
      </c>
      <c r="C9" s="50">
        <v>1</v>
      </c>
      <c r="D9" s="50">
        <v>2</v>
      </c>
      <c r="E9" s="50">
        <v>2</v>
      </c>
      <c r="F9" s="44" t="s">
        <v>8</v>
      </c>
      <c r="H9" s="19" t="s">
        <v>46</v>
      </c>
      <c r="I9" s="18" t="s">
        <v>161</v>
      </c>
      <c r="J9" s="75">
        <f>Io_mn*Vo/(Vin_mx*E)</f>
        <v>1.4814814814814814</v>
      </c>
      <c r="K9" s="54">
        <f>Io*Vo/(Vin*E)</f>
        <v>3.9506172839506175</v>
      </c>
      <c r="L9" s="54">
        <f>Io_mx*Vo/(Vin_mn*E)</f>
        <v>5.0793650793650791</v>
      </c>
      <c r="M9" s="14"/>
      <c r="Q9" s="43" t="s">
        <v>130</v>
      </c>
      <c r="R9" s="76" t="s">
        <v>192</v>
      </c>
      <c r="S9" s="171">
        <v>0.02</v>
      </c>
      <c r="T9" s="42" t="s">
        <v>3</v>
      </c>
    </row>
    <row r="10" spans="1:20" ht="16.5" thickBot="1" x14ac:dyDescent="0.35">
      <c r="A10" s="79" t="s">
        <v>45</v>
      </c>
      <c r="B10" s="46" t="s">
        <v>147</v>
      </c>
      <c r="C10" s="52">
        <v>0.5</v>
      </c>
      <c r="D10" s="52">
        <v>0.5</v>
      </c>
      <c r="E10" s="52">
        <v>0.5</v>
      </c>
      <c r="F10" s="44" t="s">
        <v>20</v>
      </c>
      <c r="H10" s="12" t="s">
        <v>44</v>
      </c>
      <c r="I10" s="11" t="s">
        <v>162</v>
      </c>
      <c r="J10" s="176">
        <f>1000*(Vo+Vd_mn-Vin_mx)*(1-Dmn)/(Lmn*F)</f>
        <v>1.7066788030492659</v>
      </c>
      <c r="K10" s="13">
        <f>1000*(Vo+Vd-Vin)*(1-D)/(L*F)</f>
        <v>2.0222723469214197</v>
      </c>
      <c r="L10" s="13">
        <f>1000*(Vo+Vd_mx-Vin_mn)*(1-Dmx)/(Lmn*F)</f>
        <v>1.9392012146075095</v>
      </c>
      <c r="M10" s="7" t="s">
        <v>8</v>
      </c>
      <c r="N10" s="38"/>
      <c r="O10" s="38"/>
      <c r="P10" s="38"/>
      <c r="Q10" s="101" t="s">
        <v>131</v>
      </c>
      <c r="R10" s="132" t="s">
        <v>193</v>
      </c>
      <c r="S10" s="172">
        <v>25000</v>
      </c>
      <c r="T10" s="102" t="s">
        <v>81</v>
      </c>
    </row>
    <row r="11" spans="1:20" ht="15.75" x14ac:dyDescent="0.3">
      <c r="A11" s="79" t="s">
        <v>43</v>
      </c>
      <c r="B11" s="46" t="s">
        <v>42</v>
      </c>
      <c r="C11" s="175"/>
      <c r="D11" s="53">
        <v>2200</v>
      </c>
      <c r="E11" s="175"/>
      <c r="F11" s="44" t="s">
        <v>1</v>
      </c>
      <c r="H11" s="12" t="s">
        <v>140</v>
      </c>
      <c r="I11" s="11" t="s">
        <v>163</v>
      </c>
      <c r="J11" s="10"/>
      <c r="K11" s="13">
        <f>IL_pp/IL_avg</f>
        <v>0.51188768781448435</v>
      </c>
      <c r="L11" s="13">
        <f>IL_pp_mx/IL_avg_mx</f>
        <v>0.38178023912585346</v>
      </c>
      <c r="M11" s="7"/>
      <c r="Q11" s="99" t="s">
        <v>196</v>
      </c>
      <c r="R11" s="133" t="s">
        <v>195</v>
      </c>
      <c r="S11" s="173">
        <v>470</v>
      </c>
      <c r="T11" s="100" t="s">
        <v>83</v>
      </c>
    </row>
    <row r="12" spans="1:20" ht="15.75" x14ac:dyDescent="0.3">
      <c r="A12" s="79" t="s">
        <v>41</v>
      </c>
      <c r="B12" s="46" t="s">
        <v>40</v>
      </c>
      <c r="C12" s="175"/>
      <c r="D12" s="52">
        <v>0.9</v>
      </c>
      <c r="E12" s="175"/>
      <c r="F12" s="44"/>
      <c r="H12" s="49" t="s">
        <v>39</v>
      </c>
      <c r="I12" s="11" t="s">
        <v>164</v>
      </c>
      <c r="J12" s="10"/>
      <c r="K12" s="48">
        <f>IL_avg+IL_pp/2</f>
        <v>4.9617534574113273</v>
      </c>
      <c r="L12" s="47">
        <f>IL_avg_mx+IL_pp_mx/2</f>
        <v>6.0489656866688337</v>
      </c>
      <c r="M12" s="7" t="s">
        <v>8</v>
      </c>
      <c r="Q12" s="46" t="s">
        <v>197</v>
      </c>
      <c r="R12" s="133" t="s">
        <v>194</v>
      </c>
      <c r="S12" s="170">
        <v>15000</v>
      </c>
      <c r="T12" s="44" t="s">
        <v>3</v>
      </c>
    </row>
    <row r="13" spans="1:20" ht="15.75" x14ac:dyDescent="0.3">
      <c r="A13" s="79" t="s">
        <v>38</v>
      </c>
      <c r="B13" s="46" t="s">
        <v>148</v>
      </c>
      <c r="C13" s="175"/>
      <c r="D13" s="53">
        <v>1.4999999999999999E-2</v>
      </c>
      <c r="E13" s="53">
        <v>1.4999999999999999E-2</v>
      </c>
      <c r="F13" s="44" t="s">
        <v>3</v>
      </c>
      <c r="H13" s="12" t="s">
        <v>37</v>
      </c>
      <c r="I13" s="11" t="s">
        <v>165</v>
      </c>
      <c r="J13" s="176">
        <f>IF(IL_avg_mn-IL_pp_mn/2&gt;0,IL_avg_mn-IL_pp_mn/2,0)</f>
        <v>0.62814207995684845</v>
      </c>
      <c r="K13" s="13">
        <f>IL_avg-IL_pp/2</f>
        <v>2.9394811104899077</v>
      </c>
      <c r="L13" s="13">
        <f>IL_avg_mx-IL_pp_mx/2</f>
        <v>4.1097644720613244</v>
      </c>
      <c r="M13" s="7" t="s">
        <v>8</v>
      </c>
      <c r="N13" s="87"/>
      <c r="O13" s="87"/>
      <c r="P13" s="87"/>
      <c r="Q13" s="46" t="s">
        <v>132</v>
      </c>
      <c r="R13" s="76"/>
      <c r="S13" s="170" t="s">
        <v>142</v>
      </c>
      <c r="T13" s="44"/>
    </row>
    <row r="14" spans="1:20" ht="16.5" thickBot="1" x14ac:dyDescent="0.35">
      <c r="A14" s="79" t="s">
        <v>36</v>
      </c>
      <c r="B14" s="46" t="s">
        <v>149</v>
      </c>
      <c r="C14" s="175"/>
      <c r="D14" s="45">
        <v>10</v>
      </c>
      <c r="E14" s="175"/>
      <c r="F14" s="44" t="s">
        <v>35</v>
      </c>
      <c r="H14" s="49" t="s">
        <v>34</v>
      </c>
      <c r="I14" s="11" t="s">
        <v>166</v>
      </c>
      <c r="J14" s="10"/>
      <c r="K14" s="48">
        <f>SQRT(IL_avg^2+IL_pp^2/12)</f>
        <v>3.9935167097863689</v>
      </c>
      <c r="L14" s="47">
        <f>SQRT(IL_avg_mx^2+IL_pp_mx^2/12)</f>
        <v>5.1101198344104111</v>
      </c>
      <c r="M14" s="7" t="s">
        <v>8</v>
      </c>
      <c r="N14" s="88"/>
      <c r="O14" s="87"/>
      <c r="P14" s="87"/>
      <c r="Q14" s="98" t="s">
        <v>216</v>
      </c>
      <c r="R14" s="134" t="s">
        <v>217</v>
      </c>
      <c r="S14" s="171">
        <v>68</v>
      </c>
      <c r="T14" s="42" t="s">
        <v>83</v>
      </c>
    </row>
    <row r="15" spans="1:20" ht="16.5" thickBot="1" x14ac:dyDescent="0.35">
      <c r="A15" s="79" t="s">
        <v>33</v>
      </c>
      <c r="B15" s="46" t="s">
        <v>32</v>
      </c>
      <c r="C15" s="52">
        <v>0.47</v>
      </c>
      <c r="D15" s="52">
        <v>0.47</v>
      </c>
      <c r="E15" s="52">
        <v>0.47</v>
      </c>
      <c r="F15" s="44" t="s">
        <v>157</v>
      </c>
      <c r="H15" s="6" t="s">
        <v>31</v>
      </c>
      <c r="I15" s="5" t="s">
        <v>30</v>
      </c>
      <c r="J15" s="3"/>
      <c r="K15" s="4">
        <f>IL_rms^2*RL</f>
        <v>3.189635142268589E-2</v>
      </c>
      <c r="L15" s="4">
        <f>IL_rms_mx^2*RL_mx</f>
        <v>5.2226649444069372E-2</v>
      </c>
      <c r="M15" s="2" t="s">
        <v>5</v>
      </c>
      <c r="N15" s="87"/>
      <c r="O15" s="87"/>
      <c r="P15" s="87"/>
      <c r="Q15" s="89"/>
      <c r="R15" s="89"/>
      <c r="S15" s="89"/>
      <c r="T15" s="89"/>
    </row>
    <row r="16" spans="1:20" ht="17.25" thickBot="1" x14ac:dyDescent="0.35">
      <c r="A16" s="79" t="s">
        <v>29</v>
      </c>
      <c r="B16" s="46" t="s">
        <v>28</v>
      </c>
      <c r="C16" s="175"/>
      <c r="D16" s="50">
        <v>2E-3</v>
      </c>
      <c r="E16" s="50">
        <v>2E-3</v>
      </c>
      <c r="F16" s="44" t="s">
        <v>3</v>
      </c>
      <c r="H16" s="41" t="s">
        <v>27</v>
      </c>
      <c r="I16" s="18" t="s">
        <v>167</v>
      </c>
      <c r="J16" s="17"/>
      <c r="K16" s="17"/>
      <c r="L16" s="51">
        <f>Vo</f>
        <v>8</v>
      </c>
      <c r="M16" s="14" t="s">
        <v>20</v>
      </c>
      <c r="N16" s="87"/>
      <c r="O16" s="87"/>
      <c r="P16" s="87"/>
      <c r="Q16" s="67" t="s">
        <v>59</v>
      </c>
      <c r="R16" s="130"/>
      <c r="S16" s="128" t="s">
        <v>56</v>
      </c>
      <c r="T16" s="129" t="s">
        <v>54</v>
      </c>
    </row>
    <row r="17" spans="1:20" ht="16.5" thickTop="1" x14ac:dyDescent="0.3">
      <c r="A17" s="79" t="s">
        <v>26</v>
      </c>
      <c r="B17" s="46" t="s">
        <v>150</v>
      </c>
      <c r="C17" s="175"/>
      <c r="D17" s="175"/>
      <c r="E17" s="50">
        <v>2.5000000000000001E-2</v>
      </c>
      <c r="F17" s="44" t="s">
        <v>20</v>
      </c>
      <c r="H17" s="12" t="s">
        <v>25</v>
      </c>
      <c r="I17" s="11" t="s">
        <v>168</v>
      </c>
      <c r="J17" s="10"/>
      <c r="K17" s="13">
        <f>IL_pk</f>
        <v>4.9617534574113273</v>
      </c>
      <c r="L17" s="13">
        <f>IL_pk_mx</f>
        <v>6.0489656866688337</v>
      </c>
      <c r="M17" s="7" t="s">
        <v>8</v>
      </c>
      <c r="Q17" s="126" t="s">
        <v>105</v>
      </c>
      <c r="R17" s="11" t="s">
        <v>198</v>
      </c>
      <c r="S17" s="127">
        <f>(Vo-VI+Vd_mx)/(Vo+Vd_mx-(Vo*Ioutc/(VI*E))*(Rds_on_mx+Rsense_mx))</f>
        <v>0.59897318881916706</v>
      </c>
      <c r="T17" s="120"/>
    </row>
    <row r="18" spans="1:20" ht="16.5" thickBot="1" x14ac:dyDescent="0.35">
      <c r="A18" s="79" t="s">
        <v>24</v>
      </c>
      <c r="B18" s="46" t="s">
        <v>151</v>
      </c>
      <c r="C18" s="175"/>
      <c r="D18" s="175"/>
      <c r="E18" s="50">
        <v>0.05</v>
      </c>
      <c r="F18" s="44" t="s">
        <v>20</v>
      </c>
      <c r="H18" s="49" t="s">
        <v>23</v>
      </c>
      <c r="I18" s="11" t="s">
        <v>169</v>
      </c>
      <c r="J18" s="10"/>
      <c r="K18" s="48">
        <f>Io</f>
        <v>2</v>
      </c>
      <c r="L18" s="47">
        <f>Io_mx</f>
        <v>2</v>
      </c>
      <c r="M18" s="7" t="s">
        <v>8</v>
      </c>
      <c r="Q18" s="122" t="s">
        <v>93</v>
      </c>
      <c r="R18" s="5" t="s">
        <v>199</v>
      </c>
      <c r="S18" s="139">
        <f>Vo/Ioutc</f>
        <v>4</v>
      </c>
      <c r="T18" s="123" t="s">
        <v>3</v>
      </c>
    </row>
    <row r="19" spans="1:20" ht="16.5" thickBot="1" x14ac:dyDescent="0.35">
      <c r="A19" s="79" t="s">
        <v>124</v>
      </c>
      <c r="B19" s="46" t="s">
        <v>152</v>
      </c>
      <c r="C19" s="85"/>
      <c r="D19" s="53">
        <v>1</v>
      </c>
      <c r="E19" s="85"/>
      <c r="F19" s="44" t="s">
        <v>20</v>
      </c>
      <c r="H19" s="27" t="s">
        <v>22</v>
      </c>
      <c r="I19" s="5" t="s">
        <v>170</v>
      </c>
      <c r="J19" s="3"/>
      <c r="K19" s="26">
        <f>Id_avg*Vd</f>
        <v>1</v>
      </c>
      <c r="L19" s="25">
        <f>Id_avg_mx*Vd_mx</f>
        <v>1</v>
      </c>
      <c r="M19" s="2" t="s">
        <v>5</v>
      </c>
      <c r="Q19" s="140" t="s">
        <v>80</v>
      </c>
      <c r="R19" s="18" t="s">
        <v>80</v>
      </c>
      <c r="S19" s="135">
        <f>1/(PI()*(((1-Dcomp)*Se/Sn)+0.5-Dcomp))</f>
        <v>0.76807886814695359</v>
      </c>
      <c r="T19" s="121"/>
    </row>
    <row r="20" spans="1:20" ht="15.75" x14ac:dyDescent="0.3">
      <c r="A20" s="79" t="s">
        <v>125</v>
      </c>
      <c r="B20" s="46" t="s">
        <v>153</v>
      </c>
      <c r="C20" s="85"/>
      <c r="D20" s="53">
        <v>1000</v>
      </c>
      <c r="E20" s="85"/>
      <c r="F20" s="44" t="s">
        <v>3</v>
      </c>
      <c r="H20" s="41" t="s">
        <v>21</v>
      </c>
      <c r="I20" s="18" t="s">
        <v>171</v>
      </c>
      <c r="J20" s="17"/>
      <c r="K20" s="17"/>
      <c r="L20" s="40">
        <f>MAX(Vo+Vd_mx,Vin_mx)</f>
        <v>8.5</v>
      </c>
      <c r="M20" s="14" t="s">
        <v>20</v>
      </c>
      <c r="Q20" s="108" t="s">
        <v>133</v>
      </c>
      <c r="R20" s="11" t="s">
        <v>200</v>
      </c>
      <c r="S20" s="92">
        <f>MIN(1000*F/10,Fzrhp/10)</f>
        <v>25926.170915900504</v>
      </c>
      <c r="T20" s="109" t="s">
        <v>81</v>
      </c>
    </row>
    <row r="21" spans="1:20" ht="15.75" x14ac:dyDescent="0.3">
      <c r="A21" s="79" t="s">
        <v>126</v>
      </c>
      <c r="B21" s="46" t="s">
        <v>154</v>
      </c>
      <c r="C21" s="175"/>
      <c r="D21" s="45">
        <v>7000</v>
      </c>
      <c r="E21" s="175"/>
      <c r="F21" s="44" t="s">
        <v>3</v>
      </c>
      <c r="H21" s="12" t="s">
        <v>19</v>
      </c>
      <c r="I21" s="11" t="s">
        <v>172</v>
      </c>
      <c r="J21" s="10"/>
      <c r="K21" s="13">
        <f>IL_pk</f>
        <v>4.9617534574113273</v>
      </c>
      <c r="L21" s="13">
        <f>IL_pk_mx</f>
        <v>6.0489656866688337</v>
      </c>
      <c r="M21" s="7" t="s">
        <v>8</v>
      </c>
      <c r="Q21" s="49" t="s">
        <v>108</v>
      </c>
      <c r="R21" s="11" t="s">
        <v>201</v>
      </c>
      <c r="S21" s="97">
        <f>Fco</f>
        <v>26302.679918953821</v>
      </c>
      <c r="T21" s="111" t="s">
        <v>81</v>
      </c>
    </row>
    <row r="22" spans="1:20" ht="16.5" thickBot="1" x14ac:dyDescent="0.35">
      <c r="A22" s="79" t="s">
        <v>127</v>
      </c>
      <c r="B22" s="46" t="s">
        <v>155</v>
      </c>
      <c r="C22" s="53">
        <v>1.4999999999999999E-2</v>
      </c>
      <c r="D22" s="53">
        <v>1.4999999999999999E-2</v>
      </c>
      <c r="E22" s="53">
        <v>1.4999999999999999E-2</v>
      </c>
      <c r="F22" s="44" t="s">
        <v>3</v>
      </c>
      <c r="H22" s="12" t="s">
        <v>18</v>
      </c>
      <c r="I22" s="11" t="s">
        <v>173</v>
      </c>
      <c r="J22" s="10"/>
      <c r="K22" s="13">
        <f>SQRT((IL_v^2+IL_pk^2+IL_v*IL_pk)*D/3)</f>
        <v>2.7588310595174521</v>
      </c>
      <c r="L22" s="13">
        <f>SQRT((IL_v_mx^2+IL_pk_mx^2+IL_v_mx*IL_pk_mx)*Dmx/3)</f>
        <v>3.9548933461507536</v>
      </c>
      <c r="M22" s="7" t="s">
        <v>8</v>
      </c>
      <c r="Q22" s="34" t="s">
        <v>109</v>
      </c>
      <c r="R22" s="33" t="s">
        <v>100</v>
      </c>
      <c r="S22" s="161">
        <f>PM +180</f>
        <v>44.746459956554816</v>
      </c>
      <c r="T22" s="162" t="s">
        <v>82</v>
      </c>
    </row>
    <row r="23" spans="1:20" ht="16.5" thickBot="1" x14ac:dyDescent="0.35">
      <c r="A23" s="80" t="s">
        <v>128</v>
      </c>
      <c r="B23" s="43" t="s">
        <v>156</v>
      </c>
      <c r="C23" s="73">
        <v>1300</v>
      </c>
      <c r="D23" s="73">
        <v>1300</v>
      </c>
      <c r="E23" s="73">
        <v>1300</v>
      </c>
      <c r="F23" s="42" t="s">
        <v>3</v>
      </c>
      <c r="H23" s="12" t="s">
        <v>17</v>
      </c>
      <c r="I23" s="11" t="s">
        <v>174</v>
      </c>
      <c r="J23" s="10"/>
      <c r="K23" s="13">
        <f>Iq_rms^2*Rds_on</f>
        <v>0.11416723222437281</v>
      </c>
      <c r="L23" s="13">
        <f>Iq_rms_mx^2*Rds_on_mx</f>
        <v>0.23461772069141254</v>
      </c>
      <c r="M23" s="7" t="s">
        <v>5</v>
      </c>
      <c r="Q23" s="103" t="s">
        <v>110</v>
      </c>
      <c r="R23" s="18" t="s">
        <v>202</v>
      </c>
      <c r="S23" s="104">
        <f>IF((Fpload&lt;(Fco_t/(10^(DC_gain/40)))),10^(DC_gain/40)*1000000000000/(2*PI()*Rout*Fco_t),10^(((DC_gain+3-40*LOG10((Fco_t/Fpload))))/20)*1000000000000/(2*PI()*Rout*Fpload))</f>
        <v>464.29005968988849</v>
      </c>
      <c r="T23" s="105" t="s">
        <v>83</v>
      </c>
    </row>
    <row r="24" spans="1:20" ht="15.75" x14ac:dyDescent="0.3">
      <c r="H24" s="12" t="s">
        <v>16</v>
      </c>
      <c r="I24" s="11" t="s">
        <v>175</v>
      </c>
      <c r="J24" s="10"/>
      <c r="K24" s="13">
        <f>0.000001*0.5*(Vo+Vd)*Tqsw*F*(IL_pk+IL_v)</f>
        <v>0.73876543209876544</v>
      </c>
      <c r="L24" s="13">
        <f>0.000001*0.5*(Vo+Vd_mx)*Tqsw*F*(IL_pk_mx+IL_v_mx)</f>
        <v>0.94984126984126982</v>
      </c>
      <c r="M24" s="7" t="s">
        <v>5</v>
      </c>
      <c r="Q24" s="110" t="s">
        <v>111</v>
      </c>
      <c r="R24" s="11" t="s">
        <v>203</v>
      </c>
      <c r="S24" s="91">
        <f>1000000000000/(2*PI()*Ccomp*Fco_t)</f>
        <v>13545.101539735773</v>
      </c>
      <c r="T24" s="111" t="s">
        <v>3</v>
      </c>
    </row>
    <row r="25" spans="1:20" ht="16.5" thickBot="1" x14ac:dyDescent="0.35">
      <c r="A25" s="166" t="str">
        <f>IF( AND(A26="",A27=""), "NO ERROR","ERROR:")</f>
        <v>NO ERROR</v>
      </c>
      <c r="H25" s="27" t="s">
        <v>15</v>
      </c>
      <c r="I25" s="5" t="s">
        <v>176</v>
      </c>
      <c r="J25" s="3"/>
      <c r="K25" s="26">
        <f>Pq_cond+Pq_sw</f>
        <v>0.8529326643231383</v>
      </c>
      <c r="L25" s="25">
        <f>Pq_cond_mx+Pq_sw_mx</f>
        <v>1.1844589905326823</v>
      </c>
      <c r="M25" s="2" t="s">
        <v>5</v>
      </c>
      <c r="Q25" s="122" t="s">
        <v>218</v>
      </c>
      <c r="R25" s="5" t="s">
        <v>219</v>
      </c>
      <c r="S25" s="165">
        <f>1000000000000/(2*PI()*Fzesr*((Rout*Rcomp)/(Rout+Rcomp)))</f>
        <v>62.68546666666667</v>
      </c>
      <c r="T25" s="123" t="s">
        <v>143</v>
      </c>
    </row>
    <row r="26" spans="1:20" ht="15.75" x14ac:dyDescent="0.3">
      <c r="A26" s="1" t="str">
        <f>IF(OR(AND(IC="MAX16990",Dmn&gt;0.04,Dmx&lt;0.93),AND(IC="MAX16992",Dmn&gt;0.24,Dmx&lt;0.85)),"", "Duty Ratio out of Range")</f>
        <v/>
      </c>
      <c r="H26" s="19" t="s">
        <v>14</v>
      </c>
      <c r="I26" s="18" t="s">
        <v>177</v>
      </c>
      <c r="J26" s="37">
        <f>1000*(IL_pp_mx*Dmx)/(4*F*0.5*Vin_rip_mx)</f>
        <v>10.559359411595109</v>
      </c>
      <c r="K26" s="36"/>
      <c r="L26" s="17"/>
      <c r="M26" s="14" t="s">
        <v>158</v>
      </c>
      <c r="Q26" s="163" t="s">
        <v>123</v>
      </c>
      <c r="R26" s="60" t="s">
        <v>204</v>
      </c>
      <c r="S26" s="167">
        <f>(1-D)*RO/(2*Rsense*CS_gain)</f>
        <v>8.7126233613197819</v>
      </c>
      <c r="T26" s="164" t="s">
        <v>78</v>
      </c>
    </row>
    <row r="27" spans="1:20" ht="15.75" x14ac:dyDescent="0.3">
      <c r="A27" s="1" t="str">
        <f>IF(IL_pk_mx&gt;J38,"Current Limit is lower Than inductor peak Current", "")</f>
        <v/>
      </c>
      <c r="H27" s="12" t="s">
        <v>13</v>
      </c>
      <c r="I27" s="11" t="s">
        <v>178</v>
      </c>
      <c r="J27" s="10"/>
      <c r="K27" s="10"/>
      <c r="L27" s="39">
        <f>(0.5*Vin_rip_mx)/IL_pp_mx</f>
        <v>6.4459530583214778E-3</v>
      </c>
      <c r="M27" s="7" t="s">
        <v>3</v>
      </c>
      <c r="Q27" s="110" t="s">
        <v>122</v>
      </c>
      <c r="R27" s="11" t="s">
        <v>205</v>
      </c>
      <c r="S27" s="91">
        <f>1000000/(2*PI()*CO*ESR)</f>
        <v>169313.76924669716</v>
      </c>
      <c r="T27" s="111" t="s">
        <v>81</v>
      </c>
    </row>
    <row r="28" spans="1:20" ht="16.5" thickBot="1" x14ac:dyDescent="0.35">
      <c r="H28" s="27" t="s">
        <v>12</v>
      </c>
      <c r="I28" s="5" t="s">
        <v>179</v>
      </c>
      <c r="J28" s="3"/>
      <c r="K28" s="26">
        <f>1000*Vo*D*(1-D)/(L*F*SQRT(12))</f>
        <v>0.55720912177613935</v>
      </c>
      <c r="L28" s="25">
        <f>IF(AND(Dmn&lt;=0.5,Dmx&gt;=0.5),1000*(Vo*0.5)*(1-0.5)/(Lmn*F),MAX(1000*Vo*Dmx*(1-Dmx)/(Lmn*F), 1000*Vo*Dmn*(1-Dmn)/(Lmn*F)))/SQRT(12)</f>
        <v>0.55836583093774261</v>
      </c>
      <c r="M28" s="2" t="s">
        <v>8</v>
      </c>
      <c r="N28" s="38"/>
      <c r="O28" s="38"/>
      <c r="Q28" s="110" t="s">
        <v>121</v>
      </c>
      <c r="R28" s="11" t="s">
        <v>206</v>
      </c>
      <c r="S28" s="91">
        <f>1000000*RO*((VI/Vo)^2)/(2*PI()*L)</f>
        <v>259261.70915900505</v>
      </c>
      <c r="T28" s="111" t="s">
        <v>81</v>
      </c>
    </row>
    <row r="29" spans="1:20" ht="16.5" thickBot="1" x14ac:dyDescent="0.35">
      <c r="H29" s="19" t="s">
        <v>11</v>
      </c>
      <c r="I29" s="18" t="s">
        <v>180</v>
      </c>
      <c r="J29" s="37">
        <f>1000*Io_mx*Dmx/(0.5*Vo_rip_mx*F)</f>
        <v>21.780843229787891</v>
      </c>
      <c r="K29" s="36"/>
      <c r="L29" s="17"/>
      <c r="M29" s="14" t="s">
        <v>158</v>
      </c>
      <c r="Q29" s="81" t="s">
        <v>120</v>
      </c>
      <c r="R29" s="5" t="s">
        <v>207</v>
      </c>
      <c r="S29" s="106">
        <f>2*1000000/(2*PI()*CO*RO)</f>
        <v>1693.1376924669717</v>
      </c>
      <c r="T29" s="107" t="s">
        <v>81</v>
      </c>
    </row>
    <row r="30" spans="1:20" ht="15.75" x14ac:dyDescent="0.3">
      <c r="H30" s="12" t="s">
        <v>10</v>
      </c>
      <c r="I30" s="11" t="s">
        <v>181</v>
      </c>
      <c r="J30" s="10"/>
      <c r="K30" s="10"/>
      <c r="L30" s="35">
        <f>0.5*Vo_rip_mx/Io_mx</f>
        <v>1.2500000000000001E-2</v>
      </c>
      <c r="M30" s="7" t="s">
        <v>3</v>
      </c>
      <c r="Q30" s="103" t="s">
        <v>112</v>
      </c>
      <c r="R30" s="18" t="s">
        <v>208</v>
      </c>
      <c r="S30" s="116">
        <f>gm*Rout</f>
        <v>35000</v>
      </c>
      <c r="T30" s="105" t="s">
        <v>78</v>
      </c>
    </row>
    <row r="31" spans="1:20" ht="16.5" thickBot="1" x14ac:dyDescent="0.35">
      <c r="H31" s="34" t="s">
        <v>9</v>
      </c>
      <c r="I31" s="33" t="s">
        <v>182</v>
      </c>
      <c r="J31" s="32"/>
      <c r="K31" s="31">
        <f>Io*SQRT(D/(1-D))</f>
        <v>1.9109507797172887</v>
      </c>
      <c r="L31" s="30">
        <f>Io_mx*SQRT(Dmx/(1-Dmx))</f>
        <v>2.4442576476467566</v>
      </c>
      <c r="M31" s="29" t="s">
        <v>8</v>
      </c>
      <c r="Q31" s="110" t="s">
        <v>113</v>
      </c>
      <c r="R31" s="11" t="s">
        <v>209</v>
      </c>
      <c r="S31" s="90">
        <f>Vref/Vo</f>
        <v>0.125</v>
      </c>
      <c r="T31" s="111" t="s">
        <v>78</v>
      </c>
    </row>
    <row r="32" spans="1:20" ht="15.75" x14ac:dyDescent="0.3">
      <c r="H32" s="19" t="s">
        <v>7</v>
      </c>
      <c r="I32" s="18" t="s">
        <v>183</v>
      </c>
      <c r="J32" s="17"/>
      <c r="K32" s="17"/>
      <c r="L32" s="28">
        <f>(Vlim_mn-0.1)/(1.2*IL_pk_mx)</f>
        <v>1.5429635109193686E-2</v>
      </c>
      <c r="M32" s="14" t="s">
        <v>3</v>
      </c>
      <c r="Q32" s="110" t="s">
        <v>114</v>
      </c>
      <c r="R32" s="11" t="s">
        <v>210</v>
      </c>
      <c r="S32" s="91">
        <f>1000000000000/(2*PI()*Rcomp*Ccomp)</f>
        <v>22575.169232892953</v>
      </c>
      <c r="T32" s="111" t="s">
        <v>81</v>
      </c>
    </row>
    <row r="33" spans="8:20" ht="16.5" thickBot="1" x14ac:dyDescent="0.35">
      <c r="H33" s="27" t="s">
        <v>6</v>
      </c>
      <c r="I33" s="5" t="s">
        <v>184</v>
      </c>
      <c r="J33" s="3"/>
      <c r="K33" s="26">
        <f>Iq_rms^2*Rsense</f>
        <v>0.11416723222437281</v>
      </c>
      <c r="L33" s="25">
        <f>Iq_rms_mx^2*Rsense_mx</f>
        <v>0.23461772069141254</v>
      </c>
      <c r="M33" s="2" t="s">
        <v>5</v>
      </c>
      <c r="Q33" s="110" t="s">
        <v>115</v>
      </c>
      <c r="R33" s="11" t="s">
        <v>211</v>
      </c>
      <c r="S33" s="90">
        <f>1000000000000/(2*PI()*(Rout+Rcomp)*Ccomp)</f>
        <v>6.7705196139836916</v>
      </c>
      <c r="T33" s="111" t="s">
        <v>81</v>
      </c>
    </row>
    <row r="34" spans="8:20" ht="16.5" thickBot="1" x14ac:dyDescent="0.35">
      <c r="H34" s="24" t="s">
        <v>71</v>
      </c>
      <c r="I34" s="23" t="s">
        <v>156</v>
      </c>
      <c r="J34" s="22"/>
      <c r="K34" s="21">
        <f>MAX((((1/PI() + D -0.5)*(Vin*Rsense*1000000/L))/((1-D)*(Islope*F)))-Rsense,0)</f>
        <v>738.14014909459593</v>
      </c>
      <c r="L34" s="21">
        <f>MAX(Dmx&gt;0.36,(((1/PI() + Dmx -0.5)*(Vin_mn*Rsense*1000000/Lmn))/((1-Dmx)*(Islope_mn*F)))-Rsense,0)</f>
        <v>1320.7821844970056</v>
      </c>
      <c r="M34" s="20" t="s">
        <v>3</v>
      </c>
      <c r="Q34" s="81" t="s">
        <v>116</v>
      </c>
      <c r="R34" s="5" t="s">
        <v>212</v>
      </c>
      <c r="S34" s="114">
        <f>IF(AddPole="YES",1000000000000/(2*PI()*Ccomp2*((Rout*Rcomp)/(Rout+Rcomp))), "Infinite")</f>
        <v>156081.06821061068</v>
      </c>
      <c r="T34" s="115" t="s">
        <v>81</v>
      </c>
    </row>
    <row r="35" spans="8:20" ht="16.5" thickBot="1" x14ac:dyDescent="0.35">
      <c r="H35" s="19" t="s">
        <v>4</v>
      </c>
      <c r="I35" s="18" t="s">
        <v>154</v>
      </c>
      <c r="J35" s="17"/>
      <c r="K35" s="16">
        <f>IF(IC="MAX16990",1000*(F/23032)^(-1/0.96),1000*(F/21808)^(-1/0.935))</f>
        <v>11626.452655792888</v>
      </c>
      <c r="L35" s="15"/>
      <c r="M35" s="14" t="s">
        <v>3</v>
      </c>
      <c r="Q35" s="136" t="s">
        <v>90</v>
      </c>
      <c r="R35" s="137" t="s">
        <v>117</v>
      </c>
      <c r="S35" s="168">
        <f>20*LOG(Aea*Afb*Acm)</f>
        <v>91.622539952957794</v>
      </c>
      <c r="T35" s="138" t="s">
        <v>78</v>
      </c>
    </row>
    <row r="36" spans="8:20" ht="15.75" x14ac:dyDescent="0.3">
      <c r="H36" s="12" t="s">
        <v>2</v>
      </c>
      <c r="I36" s="11" t="s">
        <v>185</v>
      </c>
      <c r="J36" s="10"/>
      <c r="K36" s="9">
        <f>IF(IC="MAX16990",23032*(Rosc/1000)^(-0.96),21808*(Rosc/1000)^(-0.935))</f>
        <v>3535.4864008148538</v>
      </c>
      <c r="L36" s="8"/>
      <c r="M36" s="7" t="s">
        <v>1</v>
      </c>
      <c r="Q36" s="117" t="s">
        <v>118</v>
      </c>
      <c r="R36" s="18" t="s">
        <v>213</v>
      </c>
      <c r="S36" s="118">
        <f>1000000*Rsense*VI/L</f>
        <v>111702.12765957447</v>
      </c>
      <c r="T36" s="119" t="s">
        <v>91</v>
      </c>
    </row>
    <row r="37" spans="8:20" ht="16.5" thickBot="1" x14ac:dyDescent="0.35">
      <c r="H37" s="6" t="s">
        <v>0</v>
      </c>
      <c r="I37" s="5" t="s">
        <v>186</v>
      </c>
      <c r="J37" s="4">
        <f>Io_mx*Vo/(Io_mx*Vo+Pq_mx+Pd_mx+PL_mx+PRs_mx)</f>
        <v>0.86620850124033855</v>
      </c>
      <c r="K37" s="4">
        <f>Io*Vo/(Io*Vo+Pq+Pd+PL+PRs)</f>
        <v>0.92698644477496805</v>
      </c>
      <c r="L37" s="3"/>
      <c r="M37" s="2"/>
      <c r="N37" s="74" t="str">
        <f>IF(IL_pk_mx&gt;J38,"Current Limit is lower Than inductor peak Current", "")</f>
        <v/>
      </c>
      <c r="Q37" s="112" t="s">
        <v>119</v>
      </c>
      <c r="R37" s="11" t="s">
        <v>214</v>
      </c>
      <c r="S37" s="92">
        <f>Islope*F*(Rslope+Rsense)</f>
        <v>143001.65000000002</v>
      </c>
      <c r="T37" s="109" t="s">
        <v>91</v>
      </c>
    </row>
    <row r="38" spans="8:20" ht="16.5" thickBot="1" x14ac:dyDescent="0.35">
      <c r="H38" s="27" t="s">
        <v>66</v>
      </c>
      <c r="I38" s="5" t="s">
        <v>187</v>
      </c>
      <c r="J38" s="25">
        <f>(support!B6-(Islope_mx/1000)*Dmx*Rslope_mx)/Rsense_mx</f>
        <v>11.018672751473664</v>
      </c>
      <c r="K38" s="4">
        <f>(support!C6-(Islope/1000)*D*Rslope)/Rsense</f>
        <v>14.598615407276476</v>
      </c>
      <c r="L38" s="72">
        <f>(support!D6-(Islope_mn/1000)*Dmn*Rslope_mn)/Rsense_mn</f>
        <v>18.180392156862744</v>
      </c>
      <c r="M38" s="2" t="s">
        <v>8</v>
      </c>
      <c r="Q38" s="113" t="s">
        <v>92</v>
      </c>
      <c r="R38" s="5" t="s">
        <v>215</v>
      </c>
      <c r="S38" s="114">
        <f>1000000*Rsense*(Vo-VI)/L</f>
        <v>143617.02127659574</v>
      </c>
      <c r="T38" s="115" t="s">
        <v>91</v>
      </c>
    </row>
    <row r="39" spans="8:20" ht="16.5" thickBot="1" x14ac:dyDescent="0.35">
      <c r="H39" s="81" t="s">
        <v>188</v>
      </c>
      <c r="I39" s="82" t="s">
        <v>189</v>
      </c>
      <c r="J39" s="3"/>
      <c r="K39" s="84">
        <f>(Vo -Vref)*D20/Vref</f>
        <v>7000</v>
      </c>
      <c r="L39" s="83"/>
      <c r="M39" s="2" t="s">
        <v>3</v>
      </c>
    </row>
    <row r="49" spans="17:18" ht="15" x14ac:dyDescent="0.25">
      <c r="Q49"/>
      <c r="R49"/>
    </row>
  </sheetData>
  <sheetProtection selectLockedCells="1"/>
  <dataValidations count="34">
    <dataValidation type="decimal" showInputMessage="1" showErrorMessage="1" errorTitle="Invalid Input" error="Enter a value between 100 and 1000 for MAX16990 or between 1000 and 2500 for MAX16992." sqref="D11">
      <formula1>O3</formula1>
      <formula2>P3</formula2>
    </dataValidation>
    <dataValidation type="decimal" errorStyle="warning" operator="greaterThan" allowBlank="1" showInputMessage="1" showErrorMessage="1" errorTitle="Current Limit" error="Min Current Limit is lower than peak inductor current" sqref="J38">
      <formula1>L12</formula1>
    </dataValidation>
    <dataValidation type="decimal" operator="greaterThanOrEqual" allowBlank="1" showInputMessage="1" showErrorMessage="1" errorTitle="Invalid Input" error="Enter a value greater than or equal to 0." sqref="C19:E20 WVM13:WVN13 WLQ13:WLR13 WBU13:WBV13 VRY13:VRZ13 VIC13:VID13 UYG13:UYH13 UOK13:UOL13 UEO13:UEP13 TUS13:TUT13 TKW13:TKX13 TBA13:TBB13 SRE13:SRF13 SHI13:SHJ13 RXM13:RXN13 RNQ13:RNR13 RDU13:RDV13 QTY13:QTZ13 QKC13:QKD13 QAG13:QAH13 PQK13:PQL13 PGO13:PGP13 OWS13:OWT13 OMW13:OMX13 ODA13:ODB13 NTE13:NTF13 NJI13:NJJ13 MZM13:MZN13 MPQ13:MPR13 MFU13:MFV13 LVY13:LVZ13 LMC13:LMD13 LCG13:LCH13 KSK13:KSL13 KIO13:KIP13 JYS13:JYT13 JOW13:JOX13 JFA13:JFB13 IVE13:IVF13 ILI13:ILJ13 IBM13:IBN13 HRQ13:HRR13 HHU13:HHV13 GXY13:GXZ13 GOC13:GOD13 GEG13:GEH13 FUK13:FUL13 FKO13:FKP13 FAS13:FAT13 EQW13:EQX13 EHA13:EHB13 DXE13:DXF13 DNI13:DNJ13 DDM13:DDN13 CTQ13:CTR13 CJU13:CJV13 BZY13:BZZ13 BQC13:BQD13 BGG13:BGH13 AWK13:AWL13 AMO13:AMP13 ACS13:ACT13 SW13:SX13 JA13:JB13 D13:E13 D131081:E131081 D196617:E196617 D262153:E262153 D327689:E327689 D393225:E393225 D458761:E458761 D524297:E524297 D589833:E589833 D655369:E655369 D720905:E720905 D786441:E786441 D851977:E851977 D917513:E917513 D983049:E983049 WVM983050:WVN983050 WLQ983050:WLR983050 WBU983050:WBV983050 VRY983050:VRZ983050 VIC983050:VID983050 UYG983050:UYH983050 UOK983050:UOL983050 UEO983050:UEP983050 TUS983050:TUT983050 TKW983050:TKX983050 TBA983050:TBB983050 SRE983050:SRF983050 SHI983050:SHJ983050 RXM983050:RXN983050 RNQ983050:RNR983050 RDU983050:RDV983050 QTY983050:QTZ983050 QKC983050:QKD983050 QAG983050:QAH983050 PQK983050:PQL983050 PGO983050:PGP983050 OWS983050:OWT983050 OMW983050:OMX983050 ODA983050:ODB983050 NTE983050:NTF983050 NJI983050:NJJ983050 MZM983050:MZN983050 MPQ983050:MPR983050 MFU983050:MFV983050 LVY983050:LVZ983050 LMC983050:LMD983050 LCG983050:LCH983050 KSK983050:KSL983050 KIO983050:KIP983050 JYS983050:JYT983050 JOW983050:JOX983050 JFA983050:JFB983050 IVE983050:IVF983050 ILI983050:ILJ983050 IBM983050:IBN983050 HRQ983050:HRR983050 HHU983050:HHV983050 GXY983050:GXZ983050 GOC983050:GOD983050 GEG983050:GEH983050 FUK983050:FUL983050 FKO983050:FKP983050 FAS983050:FAT983050 EQW983050:EQX983050 EHA983050:EHB983050 DXE983050:DXF983050 DNI983050:DNJ983050 DDM983050:DDN983050 CTQ983050:CTR983050 CJU983050:CJV983050 BZY983050:BZZ983050 BQC983050:BQD983050 BGG983050:BGH983050 AWK983050:AWL983050 AMO983050:AMP983050 ACS983050:ACT983050 SW983050:SX983050 JA983050:JB983050 WVM917514:WVN917514 WLQ917514:WLR917514 WBU917514:WBV917514 VRY917514:VRZ917514 VIC917514:VID917514 UYG917514:UYH917514 UOK917514:UOL917514 UEO917514:UEP917514 TUS917514:TUT917514 TKW917514:TKX917514 TBA917514:TBB917514 SRE917514:SRF917514 SHI917514:SHJ917514 RXM917514:RXN917514 RNQ917514:RNR917514 RDU917514:RDV917514 QTY917514:QTZ917514 QKC917514:QKD917514 QAG917514:QAH917514 PQK917514:PQL917514 PGO917514:PGP917514 OWS917514:OWT917514 OMW917514:OMX917514 ODA917514:ODB917514 NTE917514:NTF917514 NJI917514:NJJ917514 MZM917514:MZN917514 MPQ917514:MPR917514 MFU917514:MFV917514 LVY917514:LVZ917514 LMC917514:LMD917514 LCG917514:LCH917514 KSK917514:KSL917514 KIO917514:KIP917514 JYS917514:JYT917514 JOW917514:JOX917514 JFA917514:JFB917514 IVE917514:IVF917514 ILI917514:ILJ917514 IBM917514:IBN917514 HRQ917514:HRR917514 HHU917514:HHV917514 GXY917514:GXZ917514 GOC917514:GOD917514 GEG917514:GEH917514 FUK917514:FUL917514 FKO917514:FKP917514 FAS917514:FAT917514 EQW917514:EQX917514 EHA917514:EHB917514 DXE917514:DXF917514 DNI917514:DNJ917514 DDM917514:DDN917514 CTQ917514:CTR917514 CJU917514:CJV917514 BZY917514:BZZ917514 BQC917514:BQD917514 BGG917514:BGH917514 AWK917514:AWL917514 AMO917514:AMP917514 ACS917514:ACT917514 SW917514:SX917514 JA917514:JB917514 WVM851978:WVN851978 WLQ851978:WLR851978 WBU851978:WBV851978 VRY851978:VRZ851978 VIC851978:VID851978 UYG851978:UYH851978 UOK851978:UOL851978 UEO851978:UEP851978 TUS851978:TUT851978 TKW851978:TKX851978 TBA851978:TBB851978 SRE851978:SRF851978 SHI851978:SHJ851978 RXM851978:RXN851978 RNQ851978:RNR851978 RDU851978:RDV851978 QTY851978:QTZ851978 QKC851978:QKD851978 QAG851978:QAH851978 PQK851978:PQL851978 PGO851978:PGP851978 OWS851978:OWT851978 OMW851978:OMX851978 ODA851978:ODB851978 NTE851978:NTF851978 NJI851978:NJJ851978 MZM851978:MZN851978 MPQ851978:MPR851978 MFU851978:MFV851978 LVY851978:LVZ851978 LMC851978:LMD851978 LCG851978:LCH851978 KSK851978:KSL851978 KIO851978:KIP851978 JYS851978:JYT851978 JOW851978:JOX851978 JFA851978:JFB851978 IVE851978:IVF851978 ILI851978:ILJ851978 IBM851978:IBN851978 HRQ851978:HRR851978 HHU851978:HHV851978 GXY851978:GXZ851978 GOC851978:GOD851978 GEG851978:GEH851978 FUK851978:FUL851978 FKO851978:FKP851978 FAS851978:FAT851978 EQW851978:EQX851978 EHA851978:EHB851978 DXE851978:DXF851978 DNI851978:DNJ851978 DDM851978:DDN851978 CTQ851978:CTR851978 CJU851978:CJV851978 BZY851978:BZZ851978 BQC851978:BQD851978 BGG851978:BGH851978 AWK851978:AWL851978 AMO851978:AMP851978 ACS851978:ACT851978 SW851978:SX851978 JA851978:JB851978 WVM786442:WVN786442 WLQ786442:WLR786442 WBU786442:WBV786442 VRY786442:VRZ786442 VIC786442:VID786442 UYG786442:UYH786442 UOK786442:UOL786442 UEO786442:UEP786442 TUS786442:TUT786442 TKW786442:TKX786442 TBA786442:TBB786442 SRE786442:SRF786442 SHI786442:SHJ786442 RXM786442:RXN786442 RNQ786442:RNR786442 RDU786442:RDV786442 QTY786442:QTZ786442 QKC786442:QKD786442 QAG786442:QAH786442 PQK786442:PQL786442 PGO786442:PGP786442 OWS786442:OWT786442 OMW786442:OMX786442 ODA786442:ODB786442 NTE786442:NTF786442 NJI786442:NJJ786442 MZM786442:MZN786442 MPQ786442:MPR786442 MFU786442:MFV786442 LVY786442:LVZ786442 LMC786442:LMD786442 LCG786442:LCH786442 KSK786442:KSL786442 KIO786442:KIP786442 JYS786442:JYT786442 JOW786442:JOX786442 JFA786442:JFB786442 IVE786442:IVF786442 ILI786442:ILJ786442 IBM786442:IBN786442 HRQ786442:HRR786442 HHU786442:HHV786442 GXY786442:GXZ786442 GOC786442:GOD786442 GEG786442:GEH786442 FUK786442:FUL786442 FKO786442:FKP786442 FAS786442:FAT786442 EQW786442:EQX786442 EHA786442:EHB786442 DXE786442:DXF786442 DNI786442:DNJ786442 DDM786442:DDN786442 CTQ786442:CTR786442 CJU786442:CJV786442 BZY786442:BZZ786442 BQC786442:BQD786442 BGG786442:BGH786442 AWK786442:AWL786442 AMO786442:AMP786442 ACS786442:ACT786442 SW786442:SX786442 JA786442:JB786442 WVM720906:WVN720906 WLQ720906:WLR720906 WBU720906:WBV720906 VRY720906:VRZ720906 VIC720906:VID720906 UYG720906:UYH720906 UOK720906:UOL720906 UEO720906:UEP720906 TUS720906:TUT720906 TKW720906:TKX720906 TBA720906:TBB720906 SRE720906:SRF720906 SHI720906:SHJ720906 RXM720906:RXN720906 RNQ720906:RNR720906 RDU720906:RDV720906 QTY720906:QTZ720906 QKC720906:QKD720906 QAG720906:QAH720906 PQK720906:PQL720906 PGO720906:PGP720906 OWS720906:OWT720906 OMW720906:OMX720906 ODA720906:ODB720906 NTE720906:NTF720906 NJI720906:NJJ720906 MZM720906:MZN720906 MPQ720906:MPR720906 MFU720906:MFV720906 LVY720906:LVZ720906 LMC720906:LMD720906 LCG720906:LCH720906 KSK720906:KSL720906 KIO720906:KIP720906 JYS720906:JYT720906 JOW720906:JOX720906 JFA720906:JFB720906 IVE720906:IVF720906 ILI720906:ILJ720906 IBM720906:IBN720906 HRQ720906:HRR720906 HHU720906:HHV720906 GXY720906:GXZ720906 GOC720906:GOD720906 GEG720906:GEH720906 FUK720906:FUL720906 FKO720906:FKP720906 FAS720906:FAT720906 EQW720906:EQX720906 EHA720906:EHB720906 DXE720906:DXF720906 DNI720906:DNJ720906 DDM720906:DDN720906 CTQ720906:CTR720906 CJU720906:CJV720906 BZY720906:BZZ720906 BQC720906:BQD720906 BGG720906:BGH720906 AWK720906:AWL720906 AMO720906:AMP720906 ACS720906:ACT720906 SW720906:SX720906 JA720906:JB720906 WVM655370:WVN655370 WLQ655370:WLR655370 WBU655370:WBV655370 VRY655370:VRZ655370 VIC655370:VID655370 UYG655370:UYH655370 UOK655370:UOL655370 UEO655370:UEP655370 TUS655370:TUT655370 TKW655370:TKX655370 TBA655370:TBB655370 SRE655370:SRF655370 SHI655370:SHJ655370 RXM655370:RXN655370 RNQ655370:RNR655370 RDU655370:RDV655370 QTY655370:QTZ655370 QKC655370:QKD655370 QAG655370:QAH655370 PQK655370:PQL655370 PGO655370:PGP655370 OWS655370:OWT655370 OMW655370:OMX655370 ODA655370:ODB655370 NTE655370:NTF655370 NJI655370:NJJ655370 MZM655370:MZN655370 MPQ655370:MPR655370 MFU655370:MFV655370 LVY655370:LVZ655370 LMC655370:LMD655370 LCG655370:LCH655370 KSK655370:KSL655370 KIO655370:KIP655370 JYS655370:JYT655370 JOW655370:JOX655370 JFA655370:JFB655370 IVE655370:IVF655370 ILI655370:ILJ655370 IBM655370:IBN655370 HRQ655370:HRR655370 HHU655370:HHV655370 GXY655370:GXZ655370 GOC655370:GOD655370 GEG655370:GEH655370 FUK655370:FUL655370 FKO655370:FKP655370 FAS655370:FAT655370 EQW655370:EQX655370 EHA655370:EHB655370 DXE655370:DXF655370 DNI655370:DNJ655370 DDM655370:DDN655370 CTQ655370:CTR655370 CJU655370:CJV655370 BZY655370:BZZ655370 BQC655370:BQD655370 BGG655370:BGH655370 AWK655370:AWL655370 AMO655370:AMP655370 ACS655370:ACT655370 SW655370:SX655370 JA655370:JB655370 WVM589834:WVN589834 WLQ589834:WLR589834 WBU589834:WBV589834 VRY589834:VRZ589834 VIC589834:VID589834 UYG589834:UYH589834 UOK589834:UOL589834 UEO589834:UEP589834 TUS589834:TUT589834 TKW589834:TKX589834 TBA589834:TBB589834 SRE589834:SRF589834 SHI589834:SHJ589834 RXM589834:RXN589834 RNQ589834:RNR589834 RDU589834:RDV589834 QTY589834:QTZ589834 QKC589834:QKD589834 QAG589834:QAH589834 PQK589834:PQL589834 PGO589834:PGP589834 OWS589834:OWT589834 OMW589834:OMX589834 ODA589834:ODB589834 NTE589834:NTF589834 NJI589834:NJJ589834 MZM589834:MZN589834 MPQ589834:MPR589834 MFU589834:MFV589834 LVY589834:LVZ589834 LMC589834:LMD589834 LCG589834:LCH589834 KSK589834:KSL589834 KIO589834:KIP589834 JYS589834:JYT589834 JOW589834:JOX589834 JFA589834:JFB589834 IVE589834:IVF589834 ILI589834:ILJ589834 IBM589834:IBN589834 HRQ589834:HRR589834 HHU589834:HHV589834 GXY589834:GXZ589834 GOC589834:GOD589834 GEG589834:GEH589834 FUK589834:FUL589834 FKO589834:FKP589834 FAS589834:FAT589834 EQW589834:EQX589834 EHA589834:EHB589834 DXE589834:DXF589834 DNI589834:DNJ589834 DDM589834:DDN589834 CTQ589834:CTR589834 CJU589834:CJV589834 BZY589834:BZZ589834 BQC589834:BQD589834 BGG589834:BGH589834 AWK589834:AWL589834 AMO589834:AMP589834 ACS589834:ACT589834 SW589834:SX589834 JA589834:JB589834 WVM524298:WVN524298 WLQ524298:WLR524298 WBU524298:WBV524298 VRY524298:VRZ524298 VIC524298:VID524298 UYG524298:UYH524298 UOK524298:UOL524298 UEO524298:UEP524298 TUS524298:TUT524298 TKW524298:TKX524298 TBA524298:TBB524298 SRE524298:SRF524298 SHI524298:SHJ524298 RXM524298:RXN524298 RNQ524298:RNR524298 RDU524298:RDV524298 QTY524298:QTZ524298 QKC524298:QKD524298 QAG524298:QAH524298 PQK524298:PQL524298 PGO524298:PGP524298 OWS524298:OWT524298 OMW524298:OMX524298 ODA524298:ODB524298 NTE524298:NTF524298 NJI524298:NJJ524298 MZM524298:MZN524298 MPQ524298:MPR524298 MFU524298:MFV524298 LVY524298:LVZ524298 LMC524298:LMD524298 LCG524298:LCH524298 KSK524298:KSL524298 KIO524298:KIP524298 JYS524298:JYT524298 JOW524298:JOX524298 JFA524298:JFB524298 IVE524298:IVF524298 ILI524298:ILJ524298 IBM524298:IBN524298 HRQ524298:HRR524298 HHU524298:HHV524298 GXY524298:GXZ524298 GOC524298:GOD524298 GEG524298:GEH524298 FUK524298:FUL524298 FKO524298:FKP524298 FAS524298:FAT524298 EQW524298:EQX524298 EHA524298:EHB524298 DXE524298:DXF524298 DNI524298:DNJ524298 DDM524298:DDN524298 CTQ524298:CTR524298 CJU524298:CJV524298 BZY524298:BZZ524298 BQC524298:BQD524298 BGG524298:BGH524298 AWK524298:AWL524298 AMO524298:AMP524298 ACS524298:ACT524298 SW524298:SX524298 JA524298:JB524298 WVM458762:WVN458762 WLQ458762:WLR458762 WBU458762:WBV458762 VRY458762:VRZ458762 VIC458762:VID458762 UYG458762:UYH458762 UOK458762:UOL458762 UEO458762:UEP458762 TUS458762:TUT458762 TKW458762:TKX458762 TBA458762:TBB458762 SRE458762:SRF458762 SHI458762:SHJ458762 RXM458762:RXN458762 RNQ458762:RNR458762 RDU458762:RDV458762 QTY458762:QTZ458762 QKC458762:QKD458762 QAG458762:QAH458762 PQK458762:PQL458762 PGO458762:PGP458762 OWS458762:OWT458762 OMW458762:OMX458762 ODA458762:ODB458762 NTE458762:NTF458762 NJI458762:NJJ458762 MZM458762:MZN458762 MPQ458762:MPR458762 MFU458762:MFV458762 LVY458762:LVZ458762 LMC458762:LMD458762 LCG458762:LCH458762 KSK458762:KSL458762 KIO458762:KIP458762 JYS458762:JYT458762 JOW458762:JOX458762 JFA458762:JFB458762 IVE458762:IVF458762 ILI458762:ILJ458762 IBM458762:IBN458762 HRQ458762:HRR458762 HHU458762:HHV458762 GXY458762:GXZ458762 GOC458762:GOD458762 GEG458762:GEH458762 FUK458762:FUL458762 FKO458762:FKP458762 FAS458762:FAT458762 EQW458762:EQX458762 EHA458762:EHB458762 DXE458762:DXF458762 DNI458762:DNJ458762 DDM458762:DDN458762 CTQ458762:CTR458762 CJU458762:CJV458762 BZY458762:BZZ458762 BQC458762:BQD458762 BGG458762:BGH458762 AWK458762:AWL458762 AMO458762:AMP458762 ACS458762:ACT458762 SW458762:SX458762 JA458762:JB458762 WVM393226:WVN393226 WLQ393226:WLR393226 WBU393226:WBV393226 VRY393226:VRZ393226 VIC393226:VID393226 UYG393226:UYH393226 UOK393226:UOL393226 UEO393226:UEP393226 TUS393226:TUT393226 TKW393226:TKX393226 TBA393226:TBB393226 SRE393226:SRF393226 SHI393226:SHJ393226 RXM393226:RXN393226 RNQ393226:RNR393226 RDU393226:RDV393226 QTY393226:QTZ393226 QKC393226:QKD393226 QAG393226:QAH393226 PQK393226:PQL393226 PGO393226:PGP393226 OWS393226:OWT393226 OMW393226:OMX393226 ODA393226:ODB393226 NTE393226:NTF393226 NJI393226:NJJ393226 MZM393226:MZN393226 MPQ393226:MPR393226 MFU393226:MFV393226 LVY393226:LVZ393226 LMC393226:LMD393226 LCG393226:LCH393226 KSK393226:KSL393226 KIO393226:KIP393226 JYS393226:JYT393226 JOW393226:JOX393226 JFA393226:JFB393226 IVE393226:IVF393226 ILI393226:ILJ393226 IBM393226:IBN393226 HRQ393226:HRR393226 HHU393226:HHV393226 GXY393226:GXZ393226 GOC393226:GOD393226 GEG393226:GEH393226 FUK393226:FUL393226 FKO393226:FKP393226 FAS393226:FAT393226 EQW393226:EQX393226 EHA393226:EHB393226 DXE393226:DXF393226 DNI393226:DNJ393226 DDM393226:DDN393226 CTQ393226:CTR393226 CJU393226:CJV393226 BZY393226:BZZ393226 BQC393226:BQD393226 BGG393226:BGH393226 AWK393226:AWL393226 AMO393226:AMP393226 ACS393226:ACT393226 SW393226:SX393226 JA393226:JB393226 WVM327690:WVN327690 WLQ327690:WLR327690 WBU327690:WBV327690 VRY327690:VRZ327690 VIC327690:VID327690 UYG327690:UYH327690 UOK327690:UOL327690 UEO327690:UEP327690 TUS327690:TUT327690 TKW327690:TKX327690 TBA327690:TBB327690 SRE327690:SRF327690 SHI327690:SHJ327690 RXM327690:RXN327690 RNQ327690:RNR327690 RDU327690:RDV327690 QTY327690:QTZ327690 QKC327690:QKD327690 QAG327690:QAH327690 PQK327690:PQL327690 PGO327690:PGP327690 OWS327690:OWT327690 OMW327690:OMX327690 ODA327690:ODB327690 NTE327690:NTF327690 NJI327690:NJJ327690 MZM327690:MZN327690 MPQ327690:MPR327690 MFU327690:MFV327690 LVY327690:LVZ327690 LMC327690:LMD327690 LCG327690:LCH327690 KSK327690:KSL327690 KIO327690:KIP327690 JYS327690:JYT327690 JOW327690:JOX327690 JFA327690:JFB327690 IVE327690:IVF327690 ILI327690:ILJ327690 IBM327690:IBN327690 HRQ327690:HRR327690 HHU327690:HHV327690 GXY327690:GXZ327690 GOC327690:GOD327690 GEG327690:GEH327690 FUK327690:FUL327690 FKO327690:FKP327690 FAS327690:FAT327690 EQW327690:EQX327690 EHA327690:EHB327690 DXE327690:DXF327690 DNI327690:DNJ327690 DDM327690:DDN327690 CTQ327690:CTR327690 CJU327690:CJV327690 BZY327690:BZZ327690 BQC327690:BQD327690 BGG327690:BGH327690 AWK327690:AWL327690 AMO327690:AMP327690 ACS327690:ACT327690 SW327690:SX327690 JA327690:JB327690 WVM262154:WVN262154 WLQ262154:WLR262154 WBU262154:WBV262154 VRY262154:VRZ262154 VIC262154:VID262154 UYG262154:UYH262154 UOK262154:UOL262154 UEO262154:UEP262154 TUS262154:TUT262154 TKW262154:TKX262154 TBA262154:TBB262154 SRE262154:SRF262154 SHI262154:SHJ262154 RXM262154:RXN262154 RNQ262154:RNR262154 RDU262154:RDV262154 QTY262154:QTZ262154 QKC262154:QKD262154 QAG262154:QAH262154 PQK262154:PQL262154 PGO262154:PGP262154 OWS262154:OWT262154 OMW262154:OMX262154 ODA262154:ODB262154 NTE262154:NTF262154 NJI262154:NJJ262154 MZM262154:MZN262154 MPQ262154:MPR262154 MFU262154:MFV262154 LVY262154:LVZ262154 LMC262154:LMD262154 LCG262154:LCH262154 KSK262154:KSL262154 KIO262154:KIP262154 JYS262154:JYT262154 JOW262154:JOX262154 JFA262154:JFB262154 IVE262154:IVF262154 ILI262154:ILJ262154 IBM262154:IBN262154 HRQ262154:HRR262154 HHU262154:HHV262154 GXY262154:GXZ262154 GOC262154:GOD262154 GEG262154:GEH262154 FUK262154:FUL262154 FKO262154:FKP262154 FAS262154:FAT262154 EQW262154:EQX262154 EHA262154:EHB262154 DXE262154:DXF262154 DNI262154:DNJ262154 DDM262154:DDN262154 CTQ262154:CTR262154 CJU262154:CJV262154 BZY262154:BZZ262154 BQC262154:BQD262154 BGG262154:BGH262154 AWK262154:AWL262154 AMO262154:AMP262154 ACS262154:ACT262154 SW262154:SX262154 JA262154:JB262154 WVM196618:WVN196618 WLQ196618:WLR196618 WBU196618:WBV196618 VRY196618:VRZ196618 VIC196618:VID196618 UYG196618:UYH196618 UOK196618:UOL196618 UEO196618:UEP196618 TUS196618:TUT196618 TKW196618:TKX196618 TBA196618:TBB196618 SRE196618:SRF196618 SHI196618:SHJ196618 RXM196618:RXN196618 RNQ196618:RNR196618 RDU196618:RDV196618 QTY196618:QTZ196618 QKC196618:QKD196618 QAG196618:QAH196618 PQK196618:PQL196618 PGO196618:PGP196618 OWS196618:OWT196618 OMW196618:OMX196618 ODA196618:ODB196618 NTE196618:NTF196618 NJI196618:NJJ196618 MZM196618:MZN196618 MPQ196618:MPR196618 MFU196618:MFV196618 LVY196618:LVZ196618 LMC196618:LMD196618 LCG196618:LCH196618 KSK196618:KSL196618 KIO196618:KIP196618 JYS196618:JYT196618 JOW196618:JOX196618 JFA196618:JFB196618 IVE196618:IVF196618 ILI196618:ILJ196618 IBM196618:IBN196618 HRQ196618:HRR196618 HHU196618:HHV196618 GXY196618:GXZ196618 GOC196618:GOD196618 GEG196618:GEH196618 FUK196618:FUL196618 FKO196618:FKP196618 FAS196618:FAT196618 EQW196618:EQX196618 EHA196618:EHB196618 DXE196618:DXF196618 DNI196618:DNJ196618 DDM196618:DDN196618 CTQ196618:CTR196618 CJU196618:CJV196618 BZY196618:BZZ196618 BQC196618:BQD196618 BGG196618:BGH196618 AWK196618:AWL196618 AMO196618:AMP196618 ACS196618:ACT196618 SW196618:SX196618 JA196618:JB196618 WVM131082:WVN131082 WLQ131082:WLR131082 WBU131082:WBV131082 VRY131082:VRZ131082 VIC131082:VID131082 UYG131082:UYH131082 UOK131082:UOL131082 UEO131082:UEP131082 TUS131082:TUT131082 TKW131082:TKX131082 TBA131082:TBB131082 SRE131082:SRF131082 SHI131082:SHJ131082 RXM131082:RXN131082 RNQ131082:RNR131082 RDU131082:RDV131082 QTY131082:QTZ131082 QKC131082:QKD131082 QAG131082:QAH131082 PQK131082:PQL131082 PGO131082:PGP131082 OWS131082:OWT131082 OMW131082:OMX131082 ODA131082:ODB131082 NTE131082:NTF131082 NJI131082:NJJ131082 MZM131082:MZN131082 MPQ131082:MPR131082 MFU131082:MFV131082 LVY131082:LVZ131082 LMC131082:LMD131082 LCG131082:LCH131082 KSK131082:KSL131082 KIO131082:KIP131082 JYS131082:JYT131082 JOW131082:JOX131082 JFA131082:JFB131082 IVE131082:IVF131082 ILI131082:ILJ131082 IBM131082:IBN131082 HRQ131082:HRR131082 HHU131082:HHV131082 GXY131082:GXZ131082 GOC131082:GOD131082 GEG131082:GEH131082 FUK131082:FUL131082 FKO131082:FKP131082 FAS131082:FAT131082 EQW131082:EQX131082 EHA131082:EHB131082 DXE131082:DXF131082 DNI131082:DNJ131082 DDM131082:DDN131082 CTQ131082:CTR131082 CJU131082:CJV131082 BZY131082:BZZ131082 BQC131082:BQD131082 BGG131082:BGH131082 AWK131082:AWL131082 AMO131082:AMP131082 ACS131082:ACT131082 SW131082:SX131082 JA131082:JB131082 WVM65546:WVN65546 WLQ65546:WLR65546 WBU65546:WBV65546 VRY65546:VRZ65546 VIC65546:VID65546 UYG65546:UYH65546 UOK65546:UOL65546 UEO65546:UEP65546 TUS65546:TUT65546 TKW65546:TKX65546 TBA65546:TBB65546 SRE65546:SRF65546 SHI65546:SHJ65546 RXM65546:RXN65546 RNQ65546:RNR65546 RDU65546:RDV65546 QTY65546:QTZ65546 QKC65546:QKD65546 QAG65546:QAH65546 PQK65546:PQL65546 PGO65546:PGP65546 OWS65546:OWT65546 OMW65546:OMX65546 ODA65546:ODB65546 NTE65546:NTF65546 NJI65546:NJJ65546 MZM65546:MZN65546 MPQ65546:MPR65546 MFU65546:MFV65546 LVY65546:LVZ65546 LMC65546:LMD65546 LCG65546:LCH65546 KSK65546:KSL65546 KIO65546:KIP65546 JYS65546:JYT65546 JOW65546:JOX65546 JFA65546:JFB65546 IVE65546:IVF65546 ILI65546:ILJ65546 IBM65546:IBN65546 HRQ65546:HRR65546 HHU65546:HHV65546 GXY65546:GXZ65546 GOC65546:GOD65546 GEG65546:GEH65546 FUK65546:FUL65546 FKO65546:FKP65546 FAS65546:FAT65546 EQW65546:EQX65546 EHA65546:EHB65546 DXE65546:DXF65546 DNI65546:DNJ65546 DDM65546:DDN65546 CTQ65546:CTR65546 CJU65546:CJV65546 BZY65546:BZZ65546 BQC65546:BQD65546 BGG65546:BGH65546 AWK65546:AWL65546 AMO65546:AMP65546 ACS65546:ACT65546 SW65546:SX65546 JA65546:JB65546 D65545:E65545 C22:E23">
      <formula1>0</formula1>
    </dataValidation>
    <dataValidation type="list" allowBlank="1" showInputMessage="1" showErrorMessage="1" sqref="S13">
      <formula1>"YES,NO"</formula1>
    </dataValidation>
    <dataValidation type="decimal" allowBlank="1" showInputMessage="1" showErrorMessage="1" errorTitle="Invalid Input" error="Enter a value between 0 and RL_max." sqref="D65548 WVM16 WLQ16 WBU16 VRY16 VIC16 UYG16 UOK16 UEO16 TUS16 TKW16 TBA16 SRE16 SHI16 RXM16 RNQ16 RDU16 QTY16 QKC16 QAG16 PQK16 PGO16 OWS16 OMW16 ODA16 NTE16 NJI16 MZM16 MPQ16 MFU16 LVY16 LMC16 LCG16 KSK16 KIO16 JYS16 JOW16 JFA16 IVE16 ILI16 IBM16 HRQ16 HHU16 GXY16 GOC16 GEG16 FUK16 FKO16 FAS16 EQW16 EHA16 DXE16 DNI16 DDM16 CTQ16 CJU16 BZY16 BQC16 BGG16 AWK16 AMO16 ACS16 SW16 JA16 D16 D131084 D196620 D262156 D327692 D393228 D458764 D524300 D589836 D655372 D720908 D786444 D851980 D917516 D983052 WVM983053 WLQ983053 WBU983053 VRY983053 VIC983053 UYG983053 UOK983053 UEO983053 TUS983053 TKW983053 TBA983053 SRE983053 SHI983053 RXM983053 RNQ983053 RDU983053 QTY983053 QKC983053 QAG983053 PQK983053 PGO983053 OWS983053 OMW983053 ODA983053 NTE983053 NJI983053 MZM983053 MPQ983053 MFU983053 LVY983053 LMC983053 LCG983053 KSK983053 KIO983053 JYS983053 JOW983053 JFA983053 IVE983053 ILI983053 IBM983053 HRQ983053 HHU983053 GXY983053 GOC983053 GEG983053 FUK983053 FKO983053 FAS983053 EQW983053 EHA983053 DXE983053 DNI983053 DDM983053 CTQ983053 CJU983053 BZY983053 BQC983053 BGG983053 AWK983053 AMO983053 ACS983053 SW983053 JA983053 WVM917517 WLQ917517 WBU917517 VRY917517 VIC917517 UYG917517 UOK917517 UEO917517 TUS917517 TKW917517 TBA917517 SRE917517 SHI917517 RXM917517 RNQ917517 RDU917517 QTY917517 QKC917517 QAG917517 PQK917517 PGO917517 OWS917517 OMW917517 ODA917517 NTE917517 NJI917517 MZM917517 MPQ917517 MFU917517 LVY917517 LMC917517 LCG917517 KSK917517 KIO917517 JYS917517 JOW917517 JFA917517 IVE917517 ILI917517 IBM917517 HRQ917517 HHU917517 GXY917517 GOC917517 GEG917517 FUK917517 FKO917517 FAS917517 EQW917517 EHA917517 DXE917517 DNI917517 DDM917517 CTQ917517 CJU917517 BZY917517 BQC917517 BGG917517 AWK917517 AMO917517 ACS917517 SW917517 JA917517 WVM851981 WLQ851981 WBU851981 VRY851981 VIC851981 UYG851981 UOK851981 UEO851981 TUS851981 TKW851981 TBA851981 SRE851981 SHI851981 RXM851981 RNQ851981 RDU851981 QTY851981 QKC851981 QAG851981 PQK851981 PGO851981 OWS851981 OMW851981 ODA851981 NTE851981 NJI851981 MZM851981 MPQ851981 MFU851981 LVY851981 LMC851981 LCG851981 KSK851981 KIO851981 JYS851981 JOW851981 JFA851981 IVE851981 ILI851981 IBM851981 HRQ851981 HHU851981 GXY851981 GOC851981 GEG851981 FUK851981 FKO851981 FAS851981 EQW851981 EHA851981 DXE851981 DNI851981 DDM851981 CTQ851981 CJU851981 BZY851981 BQC851981 BGG851981 AWK851981 AMO851981 ACS851981 SW851981 JA851981 WVM786445 WLQ786445 WBU786445 VRY786445 VIC786445 UYG786445 UOK786445 UEO786445 TUS786445 TKW786445 TBA786445 SRE786445 SHI786445 RXM786445 RNQ786445 RDU786445 QTY786445 QKC786445 QAG786445 PQK786445 PGO786445 OWS786445 OMW786445 ODA786445 NTE786445 NJI786445 MZM786445 MPQ786445 MFU786445 LVY786445 LMC786445 LCG786445 KSK786445 KIO786445 JYS786445 JOW786445 JFA786445 IVE786445 ILI786445 IBM786445 HRQ786445 HHU786445 GXY786445 GOC786445 GEG786445 FUK786445 FKO786445 FAS786445 EQW786445 EHA786445 DXE786445 DNI786445 DDM786445 CTQ786445 CJU786445 BZY786445 BQC786445 BGG786445 AWK786445 AMO786445 ACS786445 SW786445 JA786445 WVM720909 WLQ720909 WBU720909 VRY720909 VIC720909 UYG720909 UOK720909 UEO720909 TUS720909 TKW720909 TBA720909 SRE720909 SHI720909 RXM720909 RNQ720909 RDU720909 QTY720909 QKC720909 QAG720909 PQK720909 PGO720909 OWS720909 OMW720909 ODA720909 NTE720909 NJI720909 MZM720909 MPQ720909 MFU720909 LVY720909 LMC720909 LCG720909 KSK720909 KIO720909 JYS720909 JOW720909 JFA720909 IVE720909 ILI720909 IBM720909 HRQ720909 HHU720909 GXY720909 GOC720909 GEG720909 FUK720909 FKO720909 FAS720909 EQW720909 EHA720909 DXE720909 DNI720909 DDM720909 CTQ720909 CJU720909 BZY720909 BQC720909 BGG720909 AWK720909 AMO720909 ACS720909 SW720909 JA720909 WVM655373 WLQ655373 WBU655373 VRY655373 VIC655373 UYG655373 UOK655373 UEO655373 TUS655373 TKW655373 TBA655373 SRE655373 SHI655373 RXM655373 RNQ655373 RDU655373 QTY655373 QKC655373 QAG655373 PQK655373 PGO655373 OWS655373 OMW655373 ODA655373 NTE655373 NJI655373 MZM655373 MPQ655373 MFU655373 LVY655373 LMC655373 LCG655373 KSK655373 KIO655373 JYS655373 JOW655373 JFA655373 IVE655373 ILI655373 IBM655373 HRQ655373 HHU655373 GXY655373 GOC655373 GEG655373 FUK655373 FKO655373 FAS655373 EQW655373 EHA655373 DXE655373 DNI655373 DDM655373 CTQ655373 CJU655373 BZY655373 BQC655373 BGG655373 AWK655373 AMO655373 ACS655373 SW655373 JA655373 WVM589837 WLQ589837 WBU589837 VRY589837 VIC589837 UYG589837 UOK589837 UEO589837 TUS589837 TKW589837 TBA589837 SRE589837 SHI589837 RXM589837 RNQ589837 RDU589837 QTY589837 QKC589837 QAG589837 PQK589837 PGO589837 OWS589837 OMW589837 ODA589837 NTE589837 NJI589837 MZM589837 MPQ589837 MFU589837 LVY589837 LMC589837 LCG589837 KSK589837 KIO589837 JYS589837 JOW589837 JFA589837 IVE589837 ILI589837 IBM589837 HRQ589837 HHU589837 GXY589837 GOC589837 GEG589837 FUK589837 FKO589837 FAS589837 EQW589837 EHA589837 DXE589837 DNI589837 DDM589837 CTQ589837 CJU589837 BZY589837 BQC589837 BGG589837 AWK589837 AMO589837 ACS589837 SW589837 JA589837 WVM524301 WLQ524301 WBU524301 VRY524301 VIC524301 UYG524301 UOK524301 UEO524301 TUS524301 TKW524301 TBA524301 SRE524301 SHI524301 RXM524301 RNQ524301 RDU524301 QTY524301 QKC524301 QAG524301 PQK524301 PGO524301 OWS524301 OMW524301 ODA524301 NTE524301 NJI524301 MZM524301 MPQ524301 MFU524301 LVY524301 LMC524301 LCG524301 KSK524301 KIO524301 JYS524301 JOW524301 JFA524301 IVE524301 ILI524301 IBM524301 HRQ524301 HHU524301 GXY524301 GOC524301 GEG524301 FUK524301 FKO524301 FAS524301 EQW524301 EHA524301 DXE524301 DNI524301 DDM524301 CTQ524301 CJU524301 BZY524301 BQC524301 BGG524301 AWK524301 AMO524301 ACS524301 SW524301 JA524301 WVM458765 WLQ458765 WBU458765 VRY458765 VIC458765 UYG458765 UOK458765 UEO458765 TUS458765 TKW458765 TBA458765 SRE458765 SHI458765 RXM458765 RNQ458765 RDU458765 QTY458765 QKC458765 QAG458765 PQK458765 PGO458765 OWS458765 OMW458765 ODA458765 NTE458765 NJI458765 MZM458765 MPQ458765 MFU458765 LVY458765 LMC458765 LCG458765 KSK458765 KIO458765 JYS458765 JOW458765 JFA458765 IVE458765 ILI458765 IBM458765 HRQ458765 HHU458765 GXY458765 GOC458765 GEG458765 FUK458765 FKO458765 FAS458765 EQW458765 EHA458765 DXE458765 DNI458765 DDM458765 CTQ458765 CJU458765 BZY458765 BQC458765 BGG458765 AWK458765 AMO458765 ACS458765 SW458765 JA458765 WVM393229 WLQ393229 WBU393229 VRY393229 VIC393229 UYG393229 UOK393229 UEO393229 TUS393229 TKW393229 TBA393229 SRE393229 SHI393229 RXM393229 RNQ393229 RDU393229 QTY393229 QKC393229 QAG393229 PQK393229 PGO393229 OWS393229 OMW393229 ODA393229 NTE393229 NJI393229 MZM393229 MPQ393229 MFU393229 LVY393229 LMC393229 LCG393229 KSK393229 KIO393229 JYS393229 JOW393229 JFA393229 IVE393229 ILI393229 IBM393229 HRQ393229 HHU393229 GXY393229 GOC393229 GEG393229 FUK393229 FKO393229 FAS393229 EQW393229 EHA393229 DXE393229 DNI393229 DDM393229 CTQ393229 CJU393229 BZY393229 BQC393229 BGG393229 AWK393229 AMO393229 ACS393229 SW393229 JA393229 WVM327693 WLQ327693 WBU327693 VRY327693 VIC327693 UYG327693 UOK327693 UEO327693 TUS327693 TKW327693 TBA327693 SRE327693 SHI327693 RXM327693 RNQ327693 RDU327693 QTY327693 QKC327693 QAG327693 PQK327693 PGO327693 OWS327693 OMW327693 ODA327693 NTE327693 NJI327693 MZM327693 MPQ327693 MFU327693 LVY327693 LMC327693 LCG327693 KSK327693 KIO327693 JYS327693 JOW327693 JFA327693 IVE327693 ILI327693 IBM327693 HRQ327693 HHU327693 GXY327693 GOC327693 GEG327693 FUK327693 FKO327693 FAS327693 EQW327693 EHA327693 DXE327693 DNI327693 DDM327693 CTQ327693 CJU327693 BZY327693 BQC327693 BGG327693 AWK327693 AMO327693 ACS327693 SW327693 JA327693 WVM262157 WLQ262157 WBU262157 VRY262157 VIC262157 UYG262157 UOK262157 UEO262157 TUS262157 TKW262157 TBA262157 SRE262157 SHI262157 RXM262157 RNQ262157 RDU262157 QTY262157 QKC262157 QAG262157 PQK262157 PGO262157 OWS262157 OMW262157 ODA262157 NTE262157 NJI262157 MZM262157 MPQ262157 MFU262157 LVY262157 LMC262157 LCG262157 KSK262157 KIO262157 JYS262157 JOW262157 JFA262157 IVE262157 ILI262157 IBM262157 HRQ262157 HHU262157 GXY262157 GOC262157 GEG262157 FUK262157 FKO262157 FAS262157 EQW262157 EHA262157 DXE262157 DNI262157 DDM262157 CTQ262157 CJU262157 BZY262157 BQC262157 BGG262157 AWK262157 AMO262157 ACS262157 SW262157 JA262157 WVM196621 WLQ196621 WBU196621 VRY196621 VIC196621 UYG196621 UOK196621 UEO196621 TUS196621 TKW196621 TBA196621 SRE196621 SHI196621 RXM196621 RNQ196621 RDU196621 QTY196621 QKC196621 QAG196621 PQK196621 PGO196621 OWS196621 OMW196621 ODA196621 NTE196621 NJI196621 MZM196621 MPQ196621 MFU196621 LVY196621 LMC196621 LCG196621 KSK196621 KIO196621 JYS196621 JOW196621 JFA196621 IVE196621 ILI196621 IBM196621 HRQ196621 HHU196621 GXY196621 GOC196621 GEG196621 FUK196621 FKO196621 FAS196621 EQW196621 EHA196621 DXE196621 DNI196621 DDM196621 CTQ196621 CJU196621 BZY196621 BQC196621 BGG196621 AWK196621 AMO196621 ACS196621 SW196621 JA196621 WVM131085 WLQ131085 WBU131085 VRY131085 VIC131085 UYG131085 UOK131085 UEO131085 TUS131085 TKW131085 TBA131085 SRE131085 SHI131085 RXM131085 RNQ131085 RDU131085 QTY131085 QKC131085 QAG131085 PQK131085 PGO131085 OWS131085 OMW131085 ODA131085 NTE131085 NJI131085 MZM131085 MPQ131085 MFU131085 LVY131085 LMC131085 LCG131085 KSK131085 KIO131085 JYS131085 JOW131085 JFA131085 IVE131085 ILI131085 IBM131085 HRQ131085 HHU131085 GXY131085 GOC131085 GEG131085 FUK131085 FKO131085 FAS131085 EQW131085 EHA131085 DXE131085 DNI131085 DDM131085 CTQ131085 CJU131085 BZY131085 BQC131085 BGG131085 AWK131085 AMO131085 ACS131085 SW131085 JA131085 WVM65549 WLQ65549 WBU65549 VRY65549 VIC65549 UYG65549 UOK65549 UEO65549 TUS65549 TKW65549 TBA65549 SRE65549 SHI65549 RXM65549 RNQ65549 RDU65549 QTY65549 QKC65549 QAG65549 PQK65549 PGO65549 OWS65549 OMW65549 ODA65549 NTE65549 NJI65549 MZM65549 MPQ65549 MFU65549 LVY65549 LMC65549 LCG65549 KSK65549 KIO65549 JYS65549 JOW65549 JFA65549 IVE65549 ILI65549 IBM65549 HRQ65549 HHU65549 GXY65549 GOC65549 GEG65549 FUK65549 FKO65549 FAS65549 EQW65549 EHA65549 DXE65549 DNI65549 DDM65549 CTQ65549 CJU65549 BZY65549 BQC65549 BGG65549 AWK65549 AMO65549 ACS65549 SW65549 JA65549">
      <formula1>0</formula1>
      <formula2>RL_mx</formula2>
    </dataValidation>
    <dataValidation type="decimal" operator="greaterThanOrEqual" allowBlank="1" showInputMessage="1" showErrorMessage="1" errorTitle="Invalid Input" error="Enter a value greater than or equal to RL_typ." sqref="E65548 WVN16 WLR16 WBV16 VRZ16 VID16 UYH16 UOL16 UEP16 TUT16 TKX16 TBB16 SRF16 SHJ16 RXN16 RNR16 RDV16 QTZ16 QKD16 QAH16 PQL16 PGP16 OWT16 OMX16 ODB16 NTF16 NJJ16 MZN16 MPR16 MFV16 LVZ16 LMD16 LCH16 KSL16 KIP16 JYT16 JOX16 JFB16 IVF16 ILJ16 IBN16 HRR16 HHV16 GXZ16 GOD16 GEH16 FUL16 FKP16 FAT16 EQX16 EHB16 DXF16 DNJ16 DDN16 CTR16 CJV16 BZZ16 BQD16 BGH16 AWL16 AMP16 ACT16 SX16 JB16 E16 E131084 E196620 E262156 E327692 E393228 E458764 E524300 E589836 E655372 E720908 E786444 E851980 E917516 E983052 WVN983053 WLR983053 WBV983053 VRZ983053 VID983053 UYH983053 UOL983053 UEP983053 TUT983053 TKX983053 TBB983053 SRF983053 SHJ983053 RXN983053 RNR983053 RDV983053 QTZ983053 QKD983053 QAH983053 PQL983053 PGP983053 OWT983053 OMX983053 ODB983053 NTF983053 NJJ983053 MZN983053 MPR983053 MFV983053 LVZ983053 LMD983053 LCH983053 KSL983053 KIP983053 JYT983053 JOX983053 JFB983053 IVF983053 ILJ983053 IBN983053 HRR983053 HHV983053 GXZ983053 GOD983053 GEH983053 FUL983053 FKP983053 FAT983053 EQX983053 EHB983053 DXF983053 DNJ983053 DDN983053 CTR983053 CJV983053 BZZ983053 BQD983053 BGH983053 AWL983053 AMP983053 ACT983053 SX983053 JB983053 WVN917517 WLR917517 WBV917517 VRZ917517 VID917517 UYH917517 UOL917517 UEP917517 TUT917517 TKX917517 TBB917517 SRF917517 SHJ917517 RXN917517 RNR917517 RDV917517 QTZ917517 QKD917517 QAH917517 PQL917517 PGP917517 OWT917517 OMX917517 ODB917517 NTF917517 NJJ917517 MZN917517 MPR917517 MFV917517 LVZ917517 LMD917517 LCH917517 KSL917517 KIP917517 JYT917517 JOX917517 JFB917517 IVF917517 ILJ917517 IBN917517 HRR917517 HHV917517 GXZ917517 GOD917517 GEH917517 FUL917517 FKP917517 FAT917517 EQX917517 EHB917517 DXF917517 DNJ917517 DDN917517 CTR917517 CJV917517 BZZ917517 BQD917517 BGH917517 AWL917517 AMP917517 ACT917517 SX917517 JB917517 WVN851981 WLR851981 WBV851981 VRZ851981 VID851981 UYH851981 UOL851981 UEP851981 TUT851981 TKX851981 TBB851981 SRF851981 SHJ851981 RXN851981 RNR851981 RDV851981 QTZ851981 QKD851981 QAH851981 PQL851981 PGP851981 OWT851981 OMX851981 ODB851981 NTF851981 NJJ851981 MZN851981 MPR851981 MFV851981 LVZ851981 LMD851981 LCH851981 KSL851981 KIP851981 JYT851981 JOX851981 JFB851981 IVF851981 ILJ851981 IBN851981 HRR851981 HHV851981 GXZ851981 GOD851981 GEH851981 FUL851981 FKP851981 FAT851981 EQX851981 EHB851981 DXF851981 DNJ851981 DDN851981 CTR851981 CJV851981 BZZ851981 BQD851981 BGH851981 AWL851981 AMP851981 ACT851981 SX851981 JB851981 WVN786445 WLR786445 WBV786445 VRZ786445 VID786445 UYH786445 UOL786445 UEP786445 TUT786445 TKX786445 TBB786445 SRF786445 SHJ786445 RXN786445 RNR786445 RDV786445 QTZ786445 QKD786445 QAH786445 PQL786445 PGP786445 OWT786445 OMX786445 ODB786445 NTF786445 NJJ786445 MZN786445 MPR786445 MFV786445 LVZ786445 LMD786445 LCH786445 KSL786445 KIP786445 JYT786445 JOX786445 JFB786445 IVF786445 ILJ786445 IBN786445 HRR786445 HHV786445 GXZ786445 GOD786445 GEH786445 FUL786445 FKP786445 FAT786445 EQX786445 EHB786445 DXF786445 DNJ786445 DDN786445 CTR786445 CJV786445 BZZ786445 BQD786445 BGH786445 AWL786445 AMP786445 ACT786445 SX786445 JB786445 WVN720909 WLR720909 WBV720909 VRZ720909 VID720909 UYH720909 UOL720909 UEP720909 TUT720909 TKX720909 TBB720909 SRF720909 SHJ720909 RXN720909 RNR720909 RDV720909 QTZ720909 QKD720909 QAH720909 PQL720909 PGP720909 OWT720909 OMX720909 ODB720909 NTF720909 NJJ720909 MZN720909 MPR720909 MFV720909 LVZ720909 LMD720909 LCH720909 KSL720909 KIP720909 JYT720909 JOX720909 JFB720909 IVF720909 ILJ720909 IBN720909 HRR720909 HHV720909 GXZ720909 GOD720909 GEH720909 FUL720909 FKP720909 FAT720909 EQX720909 EHB720909 DXF720909 DNJ720909 DDN720909 CTR720909 CJV720909 BZZ720909 BQD720909 BGH720909 AWL720909 AMP720909 ACT720909 SX720909 JB720909 WVN655373 WLR655373 WBV655373 VRZ655373 VID655373 UYH655373 UOL655373 UEP655373 TUT655373 TKX655373 TBB655373 SRF655373 SHJ655373 RXN655373 RNR655373 RDV655373 QTZ655373 QKD655373 QAH655373 PQL655373 PGP655373 OWT655373 OMX655373 ODB655373 NTF655373 NJJ655373 MZN655373 MPR655373 MFV655373 LVZ655373 LMD655373 LCH655373 KSL655373 KIP655373 JYT655373 JOX655373 JFB655373 IVF655373 ILJ655373 IBN655373 HRR655373 HHV655373 GXZ655373 GOD655373 GEH655373 FUL655373 FKP655373 FAT655373 EQX655373 EHB655373 DXF655373 DNJ655373 DDN655373 CTR655373 CJV655373 BZZ655373 BQD655373 BGH655373 AWL655373 AMP655373 ACT655373 SX655373 JB655373 WVN589837 WLR589837 WBV589837 VRZ589837 VID589837 UYH589837 UOL589837 UEP589837 TUT589837 TKX589837 TBB589837 SRF589837 SHJ589837 RXN589837 RNR589837 RDV589837 QTZ589837 QKD589837 QAH589837 PQL589837 PGP589837 OWT589837 OMX589837 ODB589837 NTF589837 NJJ589837 MZN589837 MPR589837 MFV589837 LVZ589837 LMD589837 LCH589837 KSL589837 KIP589837 JYT589837 JOX589837 JFB589837 IVF589837 ILJ589837 IBN589837 HRR589837 HHV589837 GXZ589837 GOD589837 GEH589837 FUL589837 FKP589837 FAT589837 EQX589837 EHB589837 DXF589837 DNJ589837 DDN589837 CTR589837 CJV589837 BZZ589837 BQD589837 BGH589837 AWL589837 AMP589837 ACT589837 SX589837 JB589837 WVN524301 WLR524301 WBV524301 VRZ524301 VID524301 UYH524301 UOL524301 UEP524301 TUT524301 TKX524301 TBB524301 SRF524301 SHJ524301 RXN524301 RNR524301 RDV524301 QTZ524301 QKD524301 QAH524301 PQL524301 PGP524301 OWT524301 OMX524301 ODB524301 NTF524301 NJJ524301 MZN524301 MPR524301 MFV524301 LVZ524301 LMD524301 LCH524301 KSL524301 KIP524301 JYT524301 JOX524301 JFB524301 IVF524301 ILJ524301 IBN524301 HRR524301 HHV524301 GXZ524301 GOD524301 GEH524301 FUL524301 FKP524301 FAT524301 EQX524301 EHB524301 DXF524301 DNJ524301 DDN524301 CTR524301 CJV524301 BZZ524301 BQD524301 BGH524301 AWL524301 AMP524301 ACT524301 SX524301 JB524301 WVN458765 WLR458765 WBV458765 VRZ458765 VID458765 UYH458765 UOL458765 UEP458765 TUT458765 TKX458765 TBB458765 SRF458765 SHJ458765 RXN458765 RNR458765 RDV458765 QTZ458765 QKD458765 QAH458765 PQL458765 PGP458765 OWT458765 OMX458765 ODB458765 NTF458765 NJJ458765 MZN458765 MPR458765 MFV458765 LVZ458765 LMD458765 LCH458765 KSL458765 KIP458765 JYT458765 JOX458765 JFB458765 IVF458765 ILJ458765 IBN458765 HRR458765 HHV458765 GXZ458765 GOD458765 GEH458765 FUL458765 FKP458765 FAT458765 EQX458765 EHB458765 DXF458765 DNJ458765 DDN458765 CTR458765 CJV458765 BZZ458765 BQD458765 BGH458765 AWL458765 AMP458765 ACT458765 SX458765 JB458765 WVN393229 WLR393229 WBV393229 VRZ393229 VID393229 UYH393229 UOL393229 UEP393229 TUT393229 TKX393229 TBB393229 SRF393229 SHJ393229 RXN393229 RNR393229 RDV393229 QTZ393229 QKD393229 QAH393229 PQL393229 PGP393229 OWT393229 OMX393229 ODB393229 NTF393229 NJJ393229 MZN393229 MPR393229 MFV393229 LVZ393229 LMD393229 LCH393229 KSL393229 KIP393229 JYT393229 JOX393229 JFB393229 IVF393229 ILJ393229 IBN393229 HRR393229 HHV393229 GXZ393229 GOD393229 GEH393229 FUL393229 FKP393229 FAT393229 EQX393229 EHB393229 DXF393229 DNJ393229 DDN393229 CTR393229 CJV393229 BZZ393229 BQD393229 BGH393229 AWL393229 AMP393229 ACT393229 SX393229 JB393229 WVN327693 WLR327693 WBV327693 VRZ327693 VID327693 UYH327693 UOL327693 UEP327693 TUT327693 TKX327693 TBB327693 SRF327693 SHJ327693 RXN327693 RNR327693 RDV327693 QTZ327693 QKD327693 QAH327693 PQL327693 PGP327693 OWT327693 OMX327693 ODB327693 NTF327693 NJJ327693 MZN327693 MPR327693 MFV327693 LVZ327693 LMD327693 LCH327693 KSL327693 KIP327693 JYT327693 JOX327693 JFB327693 IVF327693 ILJ327693 IBN327693 HRR327693 HHV327693 GXZ327693 GOD327693 GEH327693 FUL327693 FKP327693 FAT327693 EQX327693 EHB327693 DXF327693 DNJ327693 DDN327693 CTR327693 CJV327693 BZZ327693 BQD327693 BGH327693 AWL327693 AMP327693 ACT327693 SX327693 JB327693 WVN262157 WLR262157 WBV262157 VRZ262157 VID262157 UYH262157 UOL262157 UEP262157 TUT262157 TKX262157 TBB262157 SRF262157 SHJ262157 RXN262157 RNR262157 RDV262157 QTZ262157 QKD262157 QAH262157 PQL262157 PGP262157 OWT262157 OMX262157 ODB262157 NTF262157 NJJ262157 MZN262157 MPR262157 MFV262157 LVZ262157 LMD262157 LCH262157 KSL262157 KIP262157 JYT262157 JOX262157 JFB262157 IVF262157 ILJ262157 IBN262157 HRR262157 HHV262157 GXZ262157 GOD262157 GEH262157 FUL262157 FKP262157 FAT262157 EQX262157 EHB262157 DXF262157 DNJ262157 DDN262157 CTR262157 CJV262157 BZZ262157 BQD262157 BGH262157 AWL262157 AMP262157 ACT262157 SX262157 JB262157 WVN196621 WLR196621 WBV196621 VRZ196621 VID196621 UYH196621 UOL196621 UEP196621 TUT196621 TKX196621 TBB196621 SRF196621 SHJ196621 RXN196621 RNR196621 RDV196621 QTZ196621 QKD196621 QAH196621 PQL196621 PGP196621 OWT196621 OMX196621 ODB196621 NTF196621 NJJ196621 MZN196621 MPR196621 MFV196621 LVZ196621 LMD196621 LCH196621 KSL196621 KIP196621 JYT196621 JOX196621 JFB196621 IVF196621 ILJ196621 IBN196621 HRR196621 HHV196621 GXZ196621 GOD196621 GEH196621 FUL196621 FKP196621 FAT196621 EQX196621 EHB196621 DXF196621 DNJ196621 DDN196621 CTR196621 CJV196621 BZZ196621 BQD196621 BGH196621 AWL196621 AMP196621 ACT196621 SX196621 JB196621 WVN131085 WLR131085 WBV131085 VRZ131085 VID131085 UYH131085 UOL131085 UEP131085 TUT131085 TKX131085 TBB131085 SRF131085 SHJ131085 RXN131085 RNR131085 RDV131085 QTZ131085 QKD131085 QAH131085 PQL131085 PGP131085 OWT131085 OMX131085 ODB131085 NTF131085 NJJ131085 MZN131085 MPR131085 MFV131085 LVZ131085 LMD131085 LCH131085 KSL131085 KIP131085 JYT131085 JOX131085 JFB131085 IVF131085 ILJ131085 IBN131085 HRR131085 HHV131085 GXZ131085 GOD131085 GEH131085 FUL131085 FKP131085 FAT131085 EQX131085 EHB131085 DXF131085 DNJ131085 DDN131085 CTR131085 CJV131085 BZZ131085 BQD131085 BGH131085 AWL131085 AMP131085 ACT131085 SX131085 JB131085 WVN65549 WLR65549 WBV65549 VRZ65549 VID65549 UYH65549 UOL65549 UEP65549 TUT65549 TKX65549 TBB65549 SRF65549 SHJ65549 RXN65549 RNR65549 RDV65549 QTZ65549 QKD65549 QAH65549 PQL65549 PGP65549 OWT65549 OMX65549 ODB65549 NTF65549 NJJ65549 MZN65549 MPR65549 MFV65549 LVZ65549 LMD65549 LCH65549 KSL65549 KIP65549 JYT65549 JOX65549 JFB65549 IVF65549 ILJ65549 IBN65549 HRR65549 HHV65549 GXZ65549 GOD65549 GEH65549 FUL65549 FKP65549 FAT65549 EQX65549 EHB65549 DXF65549 DNJ65549 DDN65549 CTR65549 CJV65549 BZZ65549 BQD65549 BGH65549 AWL65549 AMP65549 ACT65549 SX65549 JB65549">
      <formula1>RL</formula1>
    </dataValidation>
    <dataValidation type="decimal" allowBlank="1" showInputMessage="1" showErrorMessage="1" errorTitle="Invalid Input" error="Enter a value between Vd_min and Vd_max." sqref="D65542 WVM10 WLQ10 WBU10 VRY10 VIC10 UYG10 UOK10 UEO10 TUS10 TKW10 TBA10 SRE10 SHI10 RXM10 RNQ10 RDU10 QTY10 QKC10 QAG10 PQK10 PGO10 OWS10 OMW10 ODA10 NTE10 NJI10 MZM10 MPQ10 MFU10 LVY10 LMC10 LCG10 KSK10 KIO10 JYS10 JOW10 JFA10 IVE10 ILI10 IBM10 HRQ10 HHU10 GXY10 GOC10 GEG10 FUK10 FKO10 FAS10 EQW10 EHA10 DXE10 DNI10 DDM10 CTQ10 CJU10 BZY10 BQC10 BGG10 AWK10 AMO10 ACS10 SW10 JA10 D10 D131078 D196614 D262150 D327686 D393222 D458758 D524294 D589830 D655366 D720902 D786438 D851974 D917510 D983046 WVM983047 WLQ983047 WBU983047 VRY983047 VIC983047 UYG983047 UOK983047 UEO983047 TUS983047 TKW983047 TBA983047 SRE983047 SHI983047 RXM983047 RNQ983047 RDU983047 QTY983047 QKC983047 QAG983047 PQK983047 PGO983047 OWS983047 OMW983047 ODA983047 NTE983047 NJI983047 MZM983047 MPQ983047 MFU983047 LVY983047 LMC983047 LCG983047 KSK983047 KIO983047 JYS983047 JOW983047 JFA983047 IVE983047 ILI983047 IBM983047 HRQ983047 HHU983047 GXY983047 GOC983047 GEG983047 FUK983047 FKO983047 FAS983047 EQW983047 EHA983047 DXE983047 DNI983047 DDM983047 CTQ983047 CJU983047 BZY983047 BQC983047 BGG983047 AWK983047 AMO983047 ACS983047 SW983047 JA983047 WVM917511 WLQ917511 WBU917511 VRY917511 VIC917511 UYG917511 UOK917511 UEO917511 TUS917511 TKW917511 TBA917511 SRE917511 SHI917511 RXM917511 RNQ917511 RDU917511 QTY917511 QKC917511 QAG917511 PQK917511 PGO917511 OWS917511 OMW917511 ODA917511 NTE917511 NJI917511 MZM917511 MPQ917511 MFU917511 LVY917511 LMC917511 LCG917511 KSK917511 KIO917511 JYS917511 JOW917511 JFA917511 IVE917511 ILI917511 IBM917511 HRQ917511 HHU917511 GXY917511 GOC917511 GEG917511 FUK917511 FKO917511 FAS917511 EQW917511 EHA917511 DXE917511 DNI917511 DDM917511 CTQ917511 CJU917511 BZY917511 BQC917511 BGG917511 AWK917511 AMO917511 ACS917511 SW917511 JA917511 WVM851975 WLQ851975 WBU851975 VRY851975 VIC851975 UYG851975 UOK851975 UEO851975 TUS851975 TKW851975 TBA851975 SRE851975 SHI851975 RXM851975 RNQ851975 RDU851975 QTY851975 QKC851975 QAG851975 PQK851975 PGO851975 OWS851975 OMW851975 ODA851975 NTE851975 NJI851975 MZM851975 MPQ851975 MFU851975 LVY851975 LMC851975 LCG851975 KSK851975 KIO851975 JYS851975 JOW851975 JFA851975 IVE851975 ILI851975 IBM851975 HRQ851975 HHU851975 GXY851975 GOC851975 GEG851975 FUK851975 FKO851975 FAS851975 EQW851975 EHA851975 DXE851975 DNI851975 DDM851975 CTQ851975 CJU851975 BZY851975 BQC851975 BGG851975 AWK851975 AMO851975 ACS851975 SW851975 JA851975 WVM786439 WLQ786439 WBU786439 VRY786439 VIC786439 UYG786439 UOK786439 UEO786439 TUS786439 TKW786439 TBA786439 SRE786439 SHI786439 RXM786439 RNQ786439 RDU786439 QTY786439 QKC786439 QAG786439 PQK786439 PGO786439 OWS786439 OMW786439 ODA786439 NTE786439 NJI786439 MZM786439 MPQ786439 MFU786439 LVY786439 LMC786439 LCG786439 KSK786439 KIO786439 JYS786439 JOW786439 JFA786439 IVE786439 ILI786439 IBM786439 HRQ786439 HHU786439 GXY786439 GOC786439 GEG786439 FUK786439 FKO786439 FAS786439 EQW786439 EHA786439 DXE786439 DNI786439 DDM786439 CTQ786439 CJU786439 BZY786439 BQC786439 BGG786439 AWK786439 AMO786439 ACS786439 SW786439 JA786439 WVM720903 WLQ720903 WBU720903 VRY720903 VIC720903 UYG720903 UOK720903 UEO720903 TUS720903 TKW720903 TBA720903 SRE720903 SHI720903 RXM720903 RNQ720903 RDU720903 QTY720903 QKC720903 QAG720903 PQK720903 PGO720903 OWS720903 OMW720903 ODA720903 NTE720903 NJI720903 MZM720903 MPQ720903 MFU720903 LVY720903 LMC720903 LCG720903 KSK720903 KIO720903 JYS720903 JOW720903 JFA720903 IVE720903 ILI720903 IBM720903 HRQ720903 HHU720903 GXY720903 GOC720903 GEG720903 FUK720903 FKO720903 FAS720903 EQW720903 EHA720903 DXE720903 DNI720903 DDM720903 CTQ720903 CJU720903 BZY720903 BQC720903 BGG720903 AWK720903 AMO720903 ACS720903 SW720903 JA720903 WVM655367 WLQ655367 WBU655367 VRY655367 VIC655367 UYG655367 UOK655367 UEO655367 TUS655367 TKW655367 TBA655367 SRE655367 SHI655367 RXM655367 RNQ655367 RDU655367 QTY655367 QKC655367 QAG655367 PQK655367 PGO655367 OWS655367 OMW655367 ODA655367 NTE655367 NJI655367 MZM655367 MPQ655367 MFU655367 LVY655367 LMC655367 LCG655367 KSK655367 KIO655367 JYS655367 JOW655367 JFA655367 IVE655367 ILI655367 IBM655367 HRQ655367 HHU655367 GXY655367 GOC655367 GEG655367 FUK655367 FKO655367 FAS655367 EQW655367 EHA655367 DXE655367 DNI655367 DDM655367 CTQ655367 CJU655367 BZY655367 BQC655367 BGG655367 AWK655367 AMO655367 ACS655367 SW655367 JA655367 WVM589831 WLQ589831 WBU589831 VRY589831 VIC589831 UYG589831 UOK589831 UEO589831 TUS589831 TKW589831 TBA589831 SRE589831 SHI589831 RXM589831 RNQ589831 RDU589831 QTY589831 QKC589831 QAG589831 PQK589831 PGO589831 OWS589831 OMW589831 ODA589831 NTE589831 NJI589831 MZM589831 MPQ589831 MFU589831 LVY589831 LMC589831 LCG589831 KSK589831 KIO589831 JYS589831 JOW589831 JFA589831 IVE589831 ILI589831 IBM589831 HRQ589831 HHU589831 GXY589831 GOC589831 GEG589831 FUK589831 FKO589831 FAS589831 EQW589831 EHA589831 DXE589831 DNI589831 DDM589831 CTQ589831 CJU589831 BZY589831 BQC589831 BGG589831 AWK589831 AMO589831 ACS589831 SW589831 JA589831 WVM524295 WLQ524295 WBU524295 VRY524295 VIC524295 UYG524295 UOK524295 UEO524295 TUS524295 TKW524295 TBA524295 SRE524295 SHI524295 RXM524295 RNQ524295 RDU524295 QTY524295 QKC524295 QAG524295 PQK524295 PGO524295 OWS524295 OMW524295 ODA524295 NTE524295 NJI524295 MZM524295 MPQ524295 MFU524295 LVY524295 LMC524295 LCG524295 KSK524295 KIO524295 JYS524295 JOW524295 JFA524295 IVE524295 ILI524295 IBM524295 HRQ524295 HHU524295 GXY524295 GOC524295 GEG524295 FUK524295 FKO524295 FAS524295 EQW524295 EHA524295 DXE524295 DNI524295 DDM524295 CTQ524295 CJU524295 BZY524295 BQC524295 BGG524295 AWK524295 AMO524295 ACS524295 SW524295 JA524295 WVM458759 WLQ458759 WBU458759 VRY458759 VIC458759 UYG458759 UOK458759 UEO458759 TUS458759 TKW458759 TBA458759 SRE458759 SHI458759 RXM458759 RNQ458759 RDU458759 QTY458759 QKC458759 QAG458759 PQK458759 PGO458759 OWS458759 OMW458759 ODA458759 NTE458759 NJI458759 MZM458759 MPQ458759 MFU458759 LVY458759 LMC458759 LCG458759 KSK458759 KIO458759 JYS458759 JOW458759 JFA458759 IVE458759 ILI458759 IBM458759 HRQ458759 HHU458759 GXY458759 GOC458759 GEG458759 FUK458759 FKO458759 FAS458759 EQW458759 EHA458759 DXE458759 DNI458759 DDM458759 CTQ458759 CJU458759 BZY458759 BQC458759 BGG458759 AWK458759 AMO458759 ACS458759 SW458759 JA458759 WVM393223 WLQ393223 WBU393223 VRY393223 VIC393223 UYG393223 UOK393223 UEO393223 TUS393223 TKW393223 TBA393223 SRE393223 SHI393223 RXM393223 RNQ393223 RDU393223 QTY393223 QKC393223 QAG393223 PQK393223 PGO393223 OWS393223 OMW393223 ODA393223 NTE393223 NJI393223 MZM393223 MPQ393223 MFU393223 LVY393223 LMC393223 LCG393223 KSK393223 KIO393223 JYS393223 JOW393223 JFA393223 IVE393223 ILI393223 IBM393223 HRQ393223 HHU393223 GXY393223 GOC393223 GEG393223 FUK393223 FKO393223 FAS393223 EQW393223 EHA393223 DXE393223 DNI393223 DDM393223 CTQ393223 CJU393223 BZY393223 BQC393223 BGG393223 AWK393223 AMO393223 ACS393223 SW393223 JA393223 WVM327687 WLQ327687 WBU327687 VRY327687 VIC327687 UYG327687 UOK327687 UEO327687 TUS327687 TKW327687 TBA327687 SRE327687 SHI327687 RXM327687 RNQ327687 RDU327687 QTY327687 QKC327687 QAG327687 PQK327687 PGO327687 OWS327687 OMW327687 ODA327687 NTE327687 NJI327687 MZM327687 MPQ327687 MFU327687 LVY327687 LMC327687 LCG327687 KSK327687 KIO327687 JYS327687 JOW327687 JFA327687 IVE327687 ILI327687 IBM327687 HRQ327687 HHU327687 GXY327687 GOC327687 GEG327687 FUK327687 FKO327687 FAS327687 EQW327687 EHA327687 DXE327687 DNI327687 DDM327687 CTQ327687 CJU327687 BZY327687 BQC327687 BGG327687 AWK327687 AMO327687 ACS327687 SW327687 JA327687 WVM262151 WLQ262151 WBU262151 VRY262151 VIC262151 UYG262151 UOK262151 UEO262151 TUS262151 TKW262151 TBA262151 SRE262151 SHI262151 RXM262151 RNQ262151 RDU262151 QTY262151 QKC262151 QAG262151 PQK262151 PGO262151 OWS262151 OMW262151 ODA262151 NTE262151 NJI262151 MZM262151 MPQ262151 MFU262151 LVY262151 LMC262151 LCG262151 KSK262151 KIO262151 JYS262151 JOW262151 JFA262151 IVE262151 ILI262151 IBM262151 HRQ262151 HHU262151 GXY262151 GOC262151 GEG262151 FUK262151 FKO262151 FAS262151 EQW262151 EHA262151 DXE262151 DNI262151 DDM262151 CTQ262151 CJU262151 BZY262151 BQC262151 BGG262151 AWK262151 AMO262151 ACS262151 SW262151 JA262151 WVM196615 WLQ196615 WBU196615 VRY196615 VIC196615 UYG196615 UOK196615 UEO196615 TUS196615 TKW196615 TBA196615 SRE196615 SHI196615 RXM196615 RNQ196615 RDU196615 QTY196615 QKC196615 QAG196615 PQK196615 PGO196615 OWS196615 OMW196615 ODA196615 NTE196615 NJI196615 MZM196615 MPQ196615 MFU196615 LVY196615 LMC196615 LCG196615 KSK196615 KIO196615 JYS196615 JOW196615 JFA196615 IVE196615 ILI196615 IBM196615 HRQ196615 HHU196615 GXY196615 GOC196615 GEG196615 FUK196615 FKO196615 FAS196615 EQW196615 EHA196615 DXE196615 DNI196615 DDM196615 CTQ196615 CJU196615 BZY196615 BQC196615 BGG196615 AWK196615 AMO196615 ACS196615 SW196615 JA196615 WVM131079 WLQ131079 WBU131079 VRY131079 VIC131079 UYG131079 UOK131079 UEO131079 TUS131079 TKW131079 TBA131079 SRE131079 SHI131079 RXM131079 RNQ131079 RDU131079 QTY131079 QKC131079 QAG131079 PQK131079 PGO131079 OWS131079 OMW131079 ODA131079 NTE131079 NJI131079 MZM131079 MPQ131079 MFU131079 LVY131079 LMC131079 LCG131079 KSK131079 KIO131079 JYS131079 JOW131079 JFA131079 IVE131079 ILI131079 IBM131079 HRQ131079 HHU131079 GXY131079 GOC131079 GEG131079 FUK131079 FKO131079 FAS131079 EQW131079 EHA131079 DXE131079 DNI131079 DDM131079 CTQ131079 CJU131079 BZY131079 BQC131079 BGG131079 AWK131079 AMO131079 ACS131079 SW131079 JA131079 WVM65543 WLQ65543 WBU65543 VRY65543 VIC65543 UYG65543 UOK65543 UEO65543 TUS65543 TKW65543 TBA65543 SRE65543 SHI65543 RXM65543 RNQ65543 RDU65543 QTY65543 QKC65543 QAG65543 PQK65543 PGO65543 OWS65543 OMW65543 ODA65543 NTE65543 NJI65543 MZM65543 MPQ65543 MFU65543 LVY65543 LMC65543 LCG65543 KSK65543 KIO65543 JYS65543 JOW65543 JFA65543 IVE65543 ILI65543 IBM65543 HRQ65543 HHU65543 GXY65543 GOC65543 GEG65543 FUK65543 FKO65543 FAS65543 EQW65543 EHA65543 DXE65543 DNI65543 DDM65543 CTQ65543 CJU65543 BZY65543 BQC65543 BGG65543 AWK65543 AMO65543 ACS65543 SW65543 JA65543">
      <formula1>Vd_mn</formula1>
      <formula2>Vd_mx</formula2>
    </dataValidation>
    <dataValidation type="decimal" allowBlank="1" showInputMessage="1" showErrorMessage="1" errorTitle="Invalid Input" error="Enter a value between Vin_min and Vin_max." sqref="D65539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SW7 JA7 WVM7 D131075 D196611 D262147 D327683 D393219 D458755 D524291 D589827 D655363 D720899 D786435 D851971 D917507 D983043 WVM983044 WLQ983044 WBU983044 VRY983044 VIC983044 UYG983044 UOK983044 UEO983044 TUS983044 TKW983044 TBA983044 SRE983044 SHI983044 RXM983044 RNQ983044 RDU983044 QTY983044 QKC983044 QAG983044 PQK983044 PGO983044 OWS983044 OMW983044 ODA983044 NTE983044 NJI983044 MZM983044 MPQ983044 MFU983044 LVY983044 LMC983044 LCG983044 KSK983044 KIO983044 JYS983044 JOW983044 JFA983044 IVE983044 ILI983044 IBM983044 HRQ983044 HHU983044 GXY983044 GOC983044 GEG983044 FUK983044 FKO983044 FAS983044 EQW983044 EHA983044 DXE983044 DNI983044 DDM983044 CTQ983044 CJU983044 BZY983044 BQC983044 BGG983044 AWK983044 AMO983044 ACS983044 SW983044 JA983044 WVM917508 WLQ917508 WBU917508 VRY917508 VIC917508 UYG917508 UOK917508 UEO917508 TUS917508 TKW917508 TBA917508 SRE917508 SHI917508 RXM917508 RNQ917508 RDU917508 QTY917508 QKC917508 QAG917508 PQK917508 PGO917508 OWS917508 OMW917508 ODA917508 NTE917508 NJI917508 MZM917508 MPQ917508 MFU917508 LVY917508 LMC917508 LCG917508 KSK917508 KIO917508 JYS917508 JOW917508 JFA917508 IVE917508 ILI917508 IBM917508 HRQ917508 HHU917508 GXY917508 GOC917508 GEG917508 FUK917508 FKO917508 FAS917508 EQW917508 EHA917508 DXE917508 DNI917508 DDM917508 CTQ917508 CJU917508 BZY917508 BQC917508 BGG917508 AWK917508 AMO917508 ACS917508 SW917508 JA917508 WVM851972 WLQ851972 WBU851972 VRY851972 VIC851972 UYG851972 UOK851972 UEO851972 TUS851972 TKW851972 TBA851972 SRE851972 SHI851972 RXM851972 RNQ851972 RDU851972 QTY851972 QKC851972 QAG851972 PQK851972 PGO851972 OWS851972 OMW851972 ODA851972 NTE851972 NJI851972 MZM851972 MPQ851972 MFU851972 LVY851972 LMC851972 LCG851972 KSK851972 KIO851972 JYS851972 JOW851972 JFA851972 IVE851972 ILI851972 IBM851972 HRQ851972 HHU851972 GXY851972 GOC851972 GEG851972 FUK851972 FKO851972 FAS851972 EQW851972 EHA851972 DXE851972 DNI851972 DDM851972 CTQ851972 CJU851972 BZY851972 BQC851972 BGG851972 AWK851972 AMO851972 ACS851972 SW851972 JA851972 WVM786436 WLQ786436 WBU786436 VRY786436 VIC786436 UYG786436 UOK786436 UEO786436 TUS786436 TKW786436 TBA786436 SRE786436 SHI786436 RXM786436 RNQ786436 RDU786436 QTY786436 QKC786436 QAG786436 PQK786436 PGO786436 OWS786436 OMW786436 ODA786436 NTE786436 NJI786436 MZM786436 MPQ786436 MFU786436 LVY786436 LMC786436 LCG786436 KSK786436 KIO786436 JYS786436 JOW786436 JFA786436 IVE786436 ILI786436 IBM786436 HRQ786436 HHU786436 GXY786436 GOC786436 GEG786436 FUK786436 FKO786436 FAS786436 EQW786436 EHA786436 DXE786436 DNI786436 DDM786436 CTQ786436 CJU786436 BZY786436 BQC786436 BGG786436 AWK786436 AMO786436 ACS786436 SW786436 JA786436 WVM720900 WLQ720900 WBU720900 VRY720900 VIC720900 UYG720900 UOK720900 UEO720900 TUS720900 TKW720900 TBA720900 SRE720900 SHI720900 RXM720900 RNQ720900 RDU720900 QTY720900 QKC720900 QAG720900 PQK720900 PGO720900 OWS720900 OMW720900 ODA720900 NTE720900 NJI720900 MZM720900 MPQ720900 MFU720900 LVY720900 LMC720900 LCG720900 KSK720900 KIO720900 JYS720900 JOW720900 JFA720900 IVE720900 ILI720900 IBM720900 HRQ720900 HHU720900 GXY720900 GOC720900 GEG720900 FUK720900 FKO720900 FAS720900 EQW720900 EHA720900 DXE720900 DNI720900 DDM720900 CTQ720900 CJU720900 BZY720900 BQC720900 BGG720900 AWK720900 AMO720900 ACS720900 SW720900 JA720900 WVM655364 WLQ655364 WBU655364 VRY655364 VIC655364 UYG655364 UOK655364 UEO655364 TUS655364 TKW655364 TBA655364 SRE655364 SHI655364 RXM655364 RNQ655364 RDU655364 QTY655364 QKC655364 QAG655364 PQK655364 PGO655364 OWS655364 OMW655364 ODA655364 NTE655364 NJI655364 MZM655364 MPQ655364 MFU655364 LVY655364 LMC655364 LCG655364 KSK655364 KIO655364 JYS655364 JOW655364 JFA655364 IVE655364 ILI655364 IBM655364 HRQ655364 HHU655364 GXY655364 GOC655364 GEG655364 FUK655364 FKO655364 FAS655364 EQW655364 EHA655364 DXE655364 DNI655364 DDM655364 CTQ655364 CJU655364 BZY655364 BQC655364 BGG655364 AWK655364 AMO655364 ACS655364 SW655364 JA655364 WVM589828 WLQ589828 WBU589828 VRY589828 VIC589828 UYG589828 UOK589828 UEO589828 TUS589828 TKW589828 TBA589828 SRE589828 SHI589828 RXM589828 RNQ589828 RDU589828 QTY589828 QKC589828 QAG589828 PQK589828 PGO589828 OWS589828 OMW589828 ODA589828 NTE589828 NJI589828 MZM589828 MPQ589828 MFU589828 LVY589828 LMC589828 LCG589828 KSK589828 KIO589828 JYS589828 JOW589828 JFA589828 IVE589828 ILI589828 IBM589828 HRQ589828 HHU589828 GXY589828 GOC589828 GEG589828 FUK589828 FKO589828 FAS589828 EQW589828 EHA589828 DXE589828 DNI589828 DDM589828 CTQ589828 CJU589828 BZY589828 BQC589828 BGG589828 AWK589828 AMO589828 ACS589828 SW589828 JA589828 WVM524292 WLQ524292 WBU524292 VRY524292 VIC524292 UYG524292 UOK524292 UEO524292 TUS524292 TKW524292 TBA524292 SRE524292 SHI524292 RXM524292 RNQ524292 RDU524292 QTY524292 QKC524292 QAG524292 PQK524292 PGO524292 OWS524292 OMW524292 ODA524292 NTE524292 NJI524292 MZM524292 MPQ524292 MFU524292 LVY524292 LMC524292 LCG524292 KSK524292 KIO524292 JYS524292 JOW524292 JFA524292 IVE524292 ILI524292 IBM524292 HRQ524292 HHU524292 GXY524292 GOC524292 GEG524292 FUK524292 FKO524292 FAS524292 EQW524292 EHA524292 DXE524292 DNI524292 DDM524292 CTQ524292 CJU524292 BZY524292 BQC524292 BGG524292 AWK524292 AMO524292 ACS524292 SW524292 JA524292 WVM458756 WLQ458756 WBU458756 VRY458756 VIC458756 UYG458756 UOK458756 UEO458756 TUS458756 TKW458756 TBA458756 SRE458756 SHI458756 RXM458756 RNQ458756 RDU458756 QTY458756 QKC458756 QAG458756 PQK458756 PGO458756 OWS458756 OMW458756 ODA458756 NTE458756 NJI458756 MZM458756 MPQ458756 MFU458756 LVY458756 LMC458756 LCG458756 KSK458756 KIO458756 JYS458756 JOW458756 JFA458756 IVE458756 ILI458756 IBM458756 HRQ458756 HHU458756 GXY458756 GOC458756 GEG458756 FUK458756 FKO458756 FAS458756 EQW458756 EHA458756 DXE458756 DNI458756 DDM458756 CTQ458756 CJU458756 BZY458756 BQC458756 BGG458756 AWK458756 AMO458756 ACS458756 SW458756 JA458756 WVM393220 WLQ393220 WBU393220 VRY393220 VIC393220 UYG393220 UOK393220 UEO393220 TUS393220 TKW393220 TBA393220 SRE393220 SHI393220 RXM393220 RNQ393220 RDU393220 QTY393220 QKC393220 QAG393220 PQK393220 PGO393220 OWS393220 OMW393220 ODA393220 NTE393220 NJI393220 MZM393220 MPQ393220 MFU393220 LVY393220 LMC393220 LCG393220 KSK393220 KIO393220 JYS393220 JOW393220 JFA393220 IVE393220 ILI393220 IBM393220 HRQ393220 HHU393220 GXY393220 GOC393220 GEG393220 FUK393220 FKO393220 FAS393220 EQW393220 EHA393220 DXE393220 DNI393220 DDM393220 CTQ393220 CJU393220 BZY393220 BQC393220 BGG393220 AWK393220 AMO393220 ACS393220 SW393220 JA393220 WVM327684 WLQ327684 WBU327684 VRY327684 VIC327684 UYG327684 UOK327684 UEO327684 TUS327684 TKW327684 TBA327684 SRE327684 SHI327684 RXM327684 RNQ327684 RDU327684 QTY327684 QKC327684 QAG327684 PQK327684 PGO327684 OWS327684 OMW327684 ODA327684 NTE327684 NJI327684 MZM327684 MPQ327684 MFU327684 LVY327684 LMC327684 LCG327684 KSK327684 KIO327684 JYS327684 JOW327684 JFA327684 IVE327684 ILI327684 IBM327684 HRQ327684 HHU327684 GXY327684 GOC327684 GEG327684 FUK327684 FKO327684 FAS327684 EQW327684 EHA327684 DXE327684 DNI327684 DDM327684 CTQ327684 CJU327684 BZY327684 BQC327684 BGG327684 AWK327684 AMO327684 ACS327684 SW327684 JA327684 WVM262148 WLQ262148 WBU262148 VRY262148 VIC262148 UYG262148 UOK262148 UEO262148 TUS262148 TKW262148 TBA262148 SRE262148 SHI262148 RXM262148 RNQ262148 RDU262148 QTY262148 QKC262148 QAG262148 PQK262148 PGO262148 OWS262148 OMW262148 ODA262148 NTE262148 NJI262148 MZM262148 MPQ262148 MFU262148 LVY262148 LMC262148 LCG262148 KSK262148 KIO262148 JYS262148 JOW262148 JFA262148 IVE262148 ILI262148 IBM262148 HRQ262148 HHU262148 GXY262148 GOC262148 GEG262148 FUK262148 FKO262148 FAS262148 EQW262148 EHA262148 DXE262148 DNI262148 DDM262148 CTQ262148 CJU262148 BZY262148 BQC262148 BGG262148 AWK262148 AMO262148 ACS262148 SW262148 JA262148 WVM196612 WLQ196612 WBU196612 VRY196612 VIC196612 UYG196612 UOK196612 UEO196612 TUS196612 TKW196612 TBA196612 SRE196612 SHI196612 RXM196612 RNQ196612 RDU196612 QTY196612 QKC196612 QAG196612 PQK196612 PGO196612 OWS196612 OMW196612 ODA196612 NTE196612 NJI196612 MZM196612 MPQ196612 MFU196612 LVY196612 LMC196612 LCG196612 KSK196612 KIO196612 JYS196612 JOW196612 JFA196612 IVE196612 ILI196612 IBM196612 HRQ196612 HHU196612 GXY196612 GOC196612 GEG196612 FUK196612 FKO196612 FAS196612 EQW196612 EHA196612 DXE196612 DNI196612 DDM196612 CTQ196612 CJU196612 BZY196612 BQC196612 BGG196612 AWK196612 AMO196612 ACS196612 SW196612 JA196612 WVM131076 WLQ131076 WBU131076 VRY131076 VIC131076 UYG131076 UOK131076 UEO131076 TUS131076 TKW131076 TBA131076 SRE131076 SHI131076 RXM131076 RNQ131076 RDU131076 QTY131076 QKC131076 QAG131076 PQK131076 PGO131076 OWS131076 OMW131076 ODA131076 NTE131076 NJI131076 MZM131076 MPQ131076 MFU131076 LVY131076 LMC131076 LCG131076 KSK131076 KIO131076 JYS131076 JOW131076 JFA131076 IVE131076 ILI131076 IBM131076 HRQ131076 HHU131076 GXY131076 GOC131076 GEG131076 FUK131076 FKO131076 FAS131076 EQW131076 EHA131076 DXE131076 DNI131076 DDM131076 CTQ131076 CJU131076 BZY131076 BQC131076 BGG131076 AWK131076 AMO131076 ACS131076 SW131076 JA131076 WVM65540 WLQ65540 WBU65540 VRY65540 VIC65540 UYG65540 UOK65540 UEO65540 TUS65540 TKW65540 TBA65540 SRE65540 SHI65540 RXM65540 RNQ65540 RDU65540 QTY65540 QKC65540 QAG65540 PQK65540 PGO65540 OWS65540 OMW65540 ODA65540 NTE65540 NJI65540 MZM65540 MPQ65540 MFU65540 LVY65540 LMC65540 LCG65540 KSK65540 KIO65540 JYS65540 JOW65540 JFA65540 IVE65540 ILI65540 IBM65540 HRQ65540 HHU65540 GXY65540 GOC65540 GEG65540 FUK65540 FKO65540 FAS65540 EQW65540 EHA65540 DXE65540 DNI65540 DDM65540 CTQ65540 CJU65540 BZY65540 BQC65540 BGG65540 AWK65540 AMO65540 ACS65540 SW65540 JA65540">
      <formula1>Vin_mn</formula1>
      <formula2>Vin_mx</formula2>
    </dataValidation>
    <dataValidation type="decimal" allowBlank="1" showInputMessage="1" showErrorMessage="1" errorTitle="Invalid Input" error="Enter a value between Iout_min and Iout_max." sqref="D65541 WVM9 WLQ9 WBU9 VRY9 VIC9 UYG9 UOK9 UEO9 TUS9 TKW9 TBA9 SRE9 SHI9 RXM9 RNQ9 RDU9 QTY9 QKC9 QAG9 PQK9 PGO9 OWS9 OMW9 ODA9 NTE9 NJI9 MZM9 MPQ9 MFU9 LVY9 LMC9 LCG9 KSK9 KIO9 JYS9 JOW9 JFA9 IVE9 ILI9 IBM9 HRQ9 HHU9 GXY9 GOC9 GEG9 FUK9 FKO9 FAS9 EQW9 EHA9 DXE9 DNI9 DDM9 CTQ9 CJU9 BZY9 BQC9 BGG9 AWK9 AMO9 ACS9 SW9 JA9 JA65542 D131077 D196613 D262149 D327685 D393221 D458757 D524293 D589829 D655365 D720901 D786437 D851973 D917509 D983045 WVM983046 WLQ983046 WBU983046 VRY983046 VIC983046 UYG983046 UOK983046 UEO983046 TUS983046 TKW983046 TBA983046 SRE983046 SHI983046 RXM983046 RNQ983046 RDU983046 QTY983046 QKC983046 QAG983046 PQK983046 PGO983046 OWS983046 OMW983046 ODA983046 NTE983046 NJI983046 MZM983046 MPQ983046 MFU983046 LVY983046 LMC983046 LCG983046 KSK983046 KIO983046 JYS983046 JOW983046 JFA983046 IVE983046 ILI983046 IBM983046 HRQ983046 HHU983046 GXY983046 GOC983046 GEG983046 FUK983046 FKO983046 FAS983046 EQW983046 EHA983046 DXE983046 DNI983046 DDM983046 CTQ983046 CJU983046 BZY983046 BQC983046 BGG983046 AWK983046 AMO983046 ACS983046 SW983046 JA983046 WVM917510 WLQ917510 WBU917510 VRY917510 VIC917510 UYG917510 UOK917510 UEO917510 TUS917510 TKW917510 TBA917510 SRE917510 SHI917510 RXM917510 RNQ917510 RDU917510 QTY917510 QKC917510 QAG917510 PQK917510 PGO917510 OWS917510 OMW917510 ODA917510 NTE917510 NJI917510 MZM917510 MPQ917510 MFU917510 LVY917510 LMC917510 LCG917510 KSK917510 KIO917510 JYS917510 JOW917510 JFA917510 IVE917510 ILI917510 IBM917510 HRQ917510 HHU917510 GXY917510 GOC917510 GEG917510 FUK917510 FKO917510 FAS917510 EQW917510 EHA917510 DXE917510 DNI917510 DDM917510 CTQ917510 CJU917510 BZY917510 BQC917510 BGG917510 AWK917510 AMO917510 ACS917510 SW917510 JA917510 WVM851974 WLQ851974 WBU851974 VRY851974 VIC851974 UYG851974 UOK851974 UEO851974 TUS851974 TKW851974 TBA851974 SRE851974 SHI851974 RXM851974 RNQ851974 RDU851974 QTY851974 QKC851974 QAG851974 PQK851974 PGO851974 OWS851974 OMW851974 ODA851974 NTE851974 NJI851974 MZM851974 MPQ851974 MFU851974 LVY851974 LMC851974 LCG851974 KSK851974 KIO851974 JYS851974 JOW851974 JFA851974 IVE851974 ILI851974 IBM851974 HRQ851974 HHU851974 GXY851974 GOC851974 GEG851974 FUK851974 FKO851974 FAS851974 EQW851974 EHA851974 DXE851974 DNI851974 DDM851974 CTQ851974 CJU851974 BZY851974 BQC851974 BGG851974 AWK851974 AMO851974 ACS851974 SW851974 JA851974 WVM786438 WLQ786438 WBU786438 VRY786438 VIC786438 UYG786438 UOK786438 UEO786438 TUS786438 TKW786438 TBA786438 SRE786438 SHI786438 RXM786438 RNQ786438 RDU786438 QTY786438 QKC786438 QAG786438 PQK786438 PGO786438 OWS786438 OMW786438 ODA786438 NTE786438 NJI786438 MZM786438 MPQ786438 MFU786438 LVY786438 LMC786438 LCG786438 KSK786438 KIO786438 JYS786438 JOW786438 JFA786438 IVE786438 ILI786438 IBM786438 HRQ786438 HHU786438 GXY786438 GOC786438 GEG786438 FUK786438 FKO786438 FAS786438 EQW786438 EHA786438 DXE786438 DNI786438 DDM786438 CTQ786438 CJU786438 BZY786438 BQC786438 BGG786438 AWK786438 AMO786438 ACS786438 SW786438 JA786438 WVM720902 WLQ720902 WBU720902 VRY720902 VIC720902 UYG720902 UOK720902 UEO720902 TUS720902 TKW720902 TBA720902 SRE720902 SHI720902 RXM720902 RNQ720902 RDU720902 QTY720902 QKC720902 QAG720902 PQK720902 PGO720902 OWS720902 OMW720902 ODA720902 NTE720902 NJI720902 MZM720902 MPQ720902 MFU720902 LVY720902 LMC720902 LCG720902 KSK720902 KIO720902 JYS720902 JOW720902 JFA720902 IVE720902 ILI720902 IBM720902 HRQ720902 HHU720902 GXY720902 GOC720902 GEG720902 FUK720902 FKO720902 FAS720902 EQW720902 EHA720902 DXE720902 DNI720902 DDM720902 CTQ720902 CJU720902 BZY720902 BQC720902 BGG720902 AWK720902 AMO720902 ACS720902 SW720902 JA720902 WVM655366 WLQ655366 WBU655366 VRY655366 VIC655366 UYG655366 UOK655366 UEO655366 TUS655366 TKW655366 TBA655366 SRE655366 SHI655366 RXM655366 RNQ655366 RDU655366 QTY655366 QKC655366 QAG655366 PQK655366 PGO655366 OWS655366 OMW655366 ODA655366 NTE655366 NJI655366 MZM655366 MPQ655366 MFU655366 LVY655366 LMC655366 LCG655366 KSK655366 KIO655366 JYS655366 JOW655366 JFA655366 IVE655366 ILI655366 IBM655366 HRQ655366 HHU655366 GXY655366 GOC655366 GEG655366 FUK655366 FKO655366 FAS655366 EQW655366 EHA655366 DXE655366 DNI655366 DDM655366 CTQ655366 CJU655366 BZY655366 BQC655366 BGG655366 AWK655366 AMO655366 ACS655366 SW655366 JA655366 WVM589830 WLQ589830 WBU589830 VRY589830 VIC589830 UYG589830 UOK589830 UEO589830 TUS589830 TKW589830 TBA589830 SRE589830 SHI589830 RXM589830 RNQ589830 RDU589830 QTY589830 QKC589830 QAG589830 PQK589830 PGO589830 OWS589830 OMW589830 ODA589830 NTE589830 NJI589830 MZM589830 MPQ589830 MFU589830 LVY589830 LMC589830 LCG589830 KSK589830 KIO589830 JYS589830 JOW589830 JFA589830 IVE589830 ILI589830 IBM589830 HRQ589830 HHU589830 GXY589830 GOC589830 GEG589830 FUK589830 FKO589830 FAS589830 EQW589830 EHA589830 DXE589830 DNI589830 DDM589830 CTQ589830 CJU589830 BZY589830 BQC589830 BGG589830 AWK589830 AMO589830 ACS589830 SW589830 JA589830 WVM524294 WLQ524294 WBU524294 VRY524294 VIC524294 UYG524294 UOK524294 UEO524294 TUS524294 TKW524294 TBA524294 SRE524294 SHI524294 RXM524294 RNQ524294 RDU524294 QTY524294 QKC524294 QAG524294 PQK524294 PGO524294 OWS524294 OMW524294 ODA524294 NTE524294 NJI524294 MZM524294 MPQ524294 MFU524294 LVY524294 LMC524294 LCG524294 KSK524294 KIO524294 JYS524294 JOW524294 JFA524294 IVE524294 ILI524294 IBM524294 HRQ524294 HHU524294 GXY524294 GOC524294 GEG524294 FUK524294 FKO524294 FAS524294 EQW524294 EHA524294 DXE524294 DNI524294 DDM524294 CTQ524294 CJU524294 BZY524294 BQC524294 BGG524294 AWK524294 AMO524294 ACS524294 SW524294 JA524294 WVM458758 WLQ458758 WBU458758 VRY458758 VIC458758 UYG458758 UOK458758 UEO458758 TUS458758 TKW458758 TBA458758 SRE458758 SHI458758 RXM458758 RNQ458758 RDU458758 QTY458758 QKC458758 QAG458758 PQK458758 PGO458758 OWS458758 OMW458758 ODA458758 NTE458758 NJI458758 MZM458758 MPQ458758 MFU458758 LVY458758 LMC458758 LCG458758 KSK458758 KIO458758 JYS458758 JOW458758 JFA458758 IVE458758 ILI458758 IBM458758 HRQ458758 HHU458758 GXY458758 GOC458758 GEG458758 FUK458758 FKO458758 FAS458758 EQW458758 EHA458758 DXE458758 DNI458758 DDM458758 CTQ458758 CJU458758 BZY458758 BQC458758 BGG458758 AWK458758 AMO458758 ACS458758 SW458758 JA458758 WVM393222 WLQ393222 WBU393222 VRY393222 VIC393222 UYG393222 UOK393222 UEO393222 TUS393222 TKW393222 TBA393222 SRE393222 SHI393222 RXM393222 RNQ393222 RDU393222 QTY393222 QKC393222 QAG393222 PQK393222 PGO393222 OWS393222 OMW393222 ODA393222 NTE393222 NJI393222 MZM393222 MPQ393222 MFU393222 LVY393222 LMC393222 LCG393222 KSK393222 KIO393222 JYS393222 JOW393222 JFA393222 IVE393222 ILI393222 IBM393222 HRQ393222 HHU393222 GXY393222 GOC393222 GEG393222 FUK393222 FKO393222 FAS393222 EQW393222 EHA393222 DXE393222 DNI393222 DDM393222 CTQ393222 CJU393222 BZY393222 BQC393222 BGG393222 AWK393222 AMO393222 ACS393222 SW393222 JA393222 WVM327686 WLQ327686 WBU327686 VRY327686 VIC327686 UYG327686 UOK327686 UEO327686 TUS327686 TKW327686 TBA327686 SRE327686 SHI327686 RXM327686 RNQ327686 RDU327686 QTY327686 QKC327686 QAG327686 PQK327686 PGO327686 OWS327686 OMW327686 ODA327686 NTE327686 NJI327686 MZM327686 MPQ327686 MFU327686 LVY327686 LMC327686 LCG327686 KSK327686 KIO327686 JYS327686 JOW327686 JFA327686 IVE327686 ILI327686 IBM327686 HRQ327686 HHU327686 GXY327686 GOC327686 GEG327686 FUK327686 FKO327686 FAS327686 EQW327686 EHA327686 DXE327686 DNI327686 DDM327686 CTQ327686 CJU327686 BZY327686 BQC327686 BGG327686 AWK327686 AMO327686 ACS327686 SW327686 JA327686 WVM262150 WLQ262150 WBU262150 VRY262150 VIC262150 UYG262150 UOK262150 UEO262150 TUS262150 TKW262150 TBA262150 SRE262150 SHI262150 RXM262150 RNQ262150 RDU262150 QTY262150 QKC262150 QAG262150 PQK262150 PGO262150 OWS262150 OMW262150 ODA262150 NTE262150 NJI262150 MZM262150 MPQ262150 MFU262150 LVY262150 LMC262150 LCG262150 KSK262150 KIO262150 JYS262150 JOW262150 JFA262150 IVE262150 ILI262150 IBM262150 HRQ262150 HHU262150 GXY262150 GOC262150 GEG262150 FUK262150 FKO262150 FAS262150 EQW262150 EHA262150 DXE262150 DNI262150 DDM262150 CTQ262150 CJU262150 BZY262150 BQC262150 BGG262150 AWK262150 AMO262150 ACS262150 SW262150 JA262150 WVM196614 WLQ196614 WBU196614 VRY196614 VIC196614 UYG196614 UOK196614 UEO196614 TUS196614 TKW196614 TBA196614 SRE196614 SHI196614 RXM196614 RNQ196614 RDU196614 QTY196614 QKC196614 QAG196614 PQK196614 PGO196614 OWS196614 OMW196614 ODA196614 NTE196614 NJI196614 MZM196614 MPQ196614 MFU196614 LVY196614 LMC196614 LCG196614 KSK196614 KIO196614 JYS196614 JOW196614 JFA196614 IVE196614 ILI196614 IBM196614 HRQ196614 HHU196614 GXY196614 GOC196614 GEG196614 FUK196614 FKO196614 FAS196614 EQW196614 EHA196614 DXE196614 DNI196614 DDM196614 CTQ196614 CJU196614 BZY196614 BQC196614 BGG196614 AWK196614 AMO196614 ACS196614 SW196614 JA196614 WVM131078 WLQ131078 WBU131078 VRY131078 VIC131078 UYG131078 UOK131078 UEO131078 TUS131078 TKW131078 TBA131078 SRE131078 SHI131078 RXM131078 RNQ131078 RDU131078 QTY131078 QKC131078 QAG131078 PQK131078 PGO131078 OWS131078 OMW131078 ODA131078 NTE131078 NJI131078 MZM131078 MPQ131078 MFU131078 LVY131078 LMC131078 LCG131078 KSK131078 KIO131078 JYS131078 JOW131078 JFA131078 IVE131078 ILI131078 IBM131078 HRQ131078 HHU131078 GXY131078 GOC131078 GEG131078 FUK131078 FKO131078 FAS131078 EQW131078 EHA131078 DXE131078 DNI131078 DDM131078 CTQ131078 CJU131078 BZY131078 BQC131078 BGG131078 AWK131078 AMO131078 ACS131078 SW131078 JA131078 WVM65542 WLQ65542 WBU65542 VRY65542 VIC65542 UYG65542 UOK65542 UEO65542 TUS65542 TKW65542 TBA65542 SRE65542 SHI65542 RXM65542 RNQ65542 RDU65542 QTY65542 QKC65542 QAG65542 PQK65542 PGO65542 OWS65542 OMW65542 ODA65542 NTE65542 NJI65542 MZM65542 MPQ65542 MFU65542 LVY65542 LMC65542 LCG65542 KSK65542 KIO65542 JYS65542 JOW65542 JFA65542 IVE65542 ILI65542 IBM65542 HRQ65542 HHU65542 GXY65542 GOC65542 GEG65542 FUK65542 FKO65542 FAS65542 EQW65542 EHA65542 DXE65542 DNI65542 DDM65542 CTQ65542 CJU65542 BZY65542 BQC65542 BGG65542 AWK65542 AMO65542 ACS65542 SW65542">
      <formula1>Io_mn</formula1>
      <formula2>Io_mx</formula2>
    </dataValidation>
    <dataValidation type="decimal" allowBlank="1" showInputMessage="1" showErrorMessage="1" errorTitle="Invalid Input" error="Enter a value between 0 and Iout_typ." sqref="C65541 WLP9 WBT9 VRX9 VIB9 UYF9 UOJ9 UEN9 TUR9 TKV9 TAZ9 SRD9 SHH9 RXL9 RNP9 RDT9 QTX9 QKB9 QAF9 PQJ9 PGN9 OWR9 OMV9 OCZ9 NTD9 NJH9 MZL9 MPP9 MFT9 LVX9 LMB9 LCF9 KSJ9 KIN9 JYR9 JOV9 JEZ9 IVD9 ILH9 IBL9 HRP9 HHT9 GXX9 GOB9 GEF9 FUJ9 FKN9 FAR9 EQV9 EGZ9 DXD9 DNH9 DDL9 CTP9 CJT9 BZX9 BQB9 BGF9 AWJ9 AMN9 ACR9 SV9 IZ9 WVL9 C131077 C196613 C262149 C327685 C393221 C458757 C524293 C589829 C655365 C720901 C786437 C851973 C917509 C983045 WVL983046 WLP983046 WBT983046 VRX983046 VIB983046 UYF983046 UOJ983046 UEN983046 TUR983046 TKV983046 TAZ983046 SRD983046 SHH983046 RXL983046 RNP983046 RDT983046 QTX983046 QKB983046 QAF983046 PQJ983046 PGN983046 OWR983046 OMV983046 OCZ983046 NTD983046 NJH983046 MZL983046 MPP983046 MFT983046 LVX983046 LMB983046 LCF983046 KSJ983046 KIN983046 JYR983046 JOV983046 JEZ983046 IVD983046 ILH983046 IBL983046 HRP983046 HHT983046 GXX983046 GOB983046 GEF983046 FUJ983046 FKN983046 FAR983046 EQV983046 EGZ983046 DXD983046 DNH983046 DDL983046 CTP983046 CJT983046 BZX983046 BQB983046 BGF983046 AWJ983046 AMN983046 ACR983046 SV983046 IZ983046 WVL917510 WLP917510 WBT917510 VRX917510 VIB917510 UYF917510 UOJ917510 UEN917510 TUR917510 TKV917510 TAZ917510 SRD917510 SHH917510 RXL917510 RNP917510 RDT917510 QTX917510 QKB917510 QAF917510 PQJ917510 PGN917510 OWR917510 OMV917510 OCZ917510 NTD917510 NJH917510 MZL917510 MPP917510 MFT917510 LVX917510 LMB917510 LCF917510 KSJ917510 KIN917510 JYR917510 JOV917510 JEZ917510 IVD917510 ILH917510 IBL917510 HRP917510 HHT917510 GXX917510 GOB917510 GEF917510 FUJ917510 FKN917510 FAR917510 EQV917510 EGZ917510 DXD917510 DNH917510 DDL917510 CTP917510 CJT917510 BZX917510 BQB917510 BGF917510 AWJ917510 AMN917510 ACR917510 SV917510 IZ917510 WVL851974 WLP851974 WBT851974 VRX851974 VIB851974 UYF851974 UOJ851974 UEN851974 TUR851974 TKV851974 TAZ851974 SRD851974 SHH851974 RXL851974 RNP851974 RDT851974 QTX851974 QKB851974 QAF851974 PQJ851974 PGN851974 OWR851974 OMV851974 OCZ851974 NTD851974 NJH851974 MZL851974 MPP851974 MFT851974 LVX851974 LMB851974 LCF851974 KSJ851974 KIN851974 JYR851974 JOV851974 JEZ851974 IVD851974 ILH851974 IBL851974 HRP851974 HHT851974 GXX851974 GOB851974 GEF851974 FUJ851974 FKN851974 FAR851974 EQV851974 EGZ851974 DXD851974 DNH851974 DDL851974 CTP851974 CJT851974 BZX851974 BQB851974 BGF851974 AWJ851974 AMN851974 ACR851974 SV851974 IZ851974 WVL786438 WLP786438 WBT786438 VRX786438 VIB786438 UYF786438 UOJ786438 UEN786438 TUR786438 TKV786438 TAZ786438 SRD786438 SHH786438 RXL786438 RNP786438 RDT786438 QTX786438 QKB786438 QAF786438 PQJ786438 PGN786438 OWR786438 OMV786438 OCZ786438 NTD786438 NJH786438 MZL786438 MPP786438 MFT786438 LVX786438 LMB786438 LCF786438 KSJ786438 KIN786438 JYR786438 JOV786438 JEZ786438 IVD786438 ILH786438 IBL786438 HRP786438 HHT786438 GXX786438 GOB786438 GEF786438 FUJ786438 FKN786438 FAR786438 EQV786438 EGZ786438 DXD786438 DNH786438 DDL786438 CTP786438 CJT786438 BZX786438 BQB786438 BGF786438 AWJ786438 AMN786438 ACR786438 SV786438 IZ786438 WVL720902 WLP720902 WBT720902 VRX720902 VIB720902 UYF720902 UOJ720902 UEN720902 TUR720902 TKV720902 TAZ720902 SRD720902 SHH720902 RXL720902 RNP720902 RDT720902 QTX720902 QKB720902 QAF720902 PQJ720902 PGN720902 OWR720902 OMV720902 OCZ720902 NTD720902 NJH720902 MZL720902 MPP720902 MFT720902 LVX720902 LMB720902 LCF720902 KSJ720902 KIN720902 JYR720902 JOV720902 JEZ720902 IVD720902 ILH720902 IBL720902 HRP720902 HHT720902 GXX720902 GOB720902 GEF720902 FUJ720902 FKN720902 FAR720902 EQV720902 EGZ720902 DXD720902 DNH720902 DDL720902 CTP720902 CJT720902 BZX720902 BQB720902 BGF720902 AWJ720902 AMN720902 ACR720902 SV720902 IZ720902 WVL655366 WLP655366 WBT655366 VRX655366 VIB655366 UYF655366 UOJ655366 UEN655366 TUR655366 TKV655366 TAZ655366 SRD655366 SHH655366 RXL655366 RNP655366 RDT655366 QTX655366 QKB655366 QAF655366 PQJ655366 PGN655366 OWR655366 OMV655366 OCZ655366 NTD655366 NJH655366 MZL655366 MPP655366 MFT655366 LVX655366 LMB655366 LCF655366 KSJ655366 KIN655366 JYR655366 JOV655366 JEZ655366 IVD655366 ILH655366 IBL655366 HRP655366 HHT655366 GXX655366 GOB655366 GEF655366 FUJ655366 FKN655366 FAR655366 EQV655366 EGZ655366 DXD655366 DNH655366 DDL655366 CTP655366 CJT655366 BZX655366 BQB655366 BGF655366 AWJ655366 AMN655366 ACR655366 SV655366 IZ655366 WVL589830 WLP589830 WBT589830 VRX589830 VIB589830 UYF589830 UOJ589830 UEN589830 TUR589830 TKV589830 TAZ589830 SRD589830 SHH589830 RXL589830 RNP589830 RDT589830 QTX589830 QKB589830 QAF589830 PQJ589830 PGN589830 OWR589830 OMV589830 OCZ589830 NTD589830 NJH589830 MZL589830 MPP589830 MFT589830 LVX589830 LMB589830 LCF589830 KSJ589830 KIN589830 JYR589830 JOV589830 JEZ589830 IVD589830 ILH589830 IBL589830 HRP589830 HHT589830 GXX589830 GOB589830 GEF589830 FUJ589830 FKN589830 FAR589830 EQV589830 EGZ589830 DXD589830 DNH589830 DDL589830 CTP589830 CJT589830 BZX589830 BQB589830 BGF589830 AWJ589830 AMN589830 ACR589830 SV589830 IZ589830 WVL524294 WLP524294 WBT524294 VRX524294 VIB524294 UYF524294 UOJ524294 UEN524294 TUR524294 TKV524294 TAZ524294 SRD524294 SHH524294 RXL524294 RNP524294 RDT524294 QTX524294 QKB524294 QAF524294 PQJ524294 PGN524294 OWR524294 OMV524294 OCZ524294 NTD524294 NJH524294 MZL524294 MPP524294 MFT524294 LVX524294 LMB524294 LCF524294 KSJ524294 KIN524294 JYR524294 JOV524294 JEZ524294 IVD524294 ILH524294 IBL524294 HRP524294 HHT524294 GXX524294 GOB524294 GEF524294 FUJ524294 FKN524294 FAR524294 EQV524294 EGZ524294 DXD524294 DNH524294 DDL524294 CTP524294 CJT524294 BZX524294 BQB524294 BGF524294 AWJ524294 AMN524294 ACR524294 SV524294 IZ524294 WVL458758 WLP458758 WBT458758 VRX458758 VIB458758 UYF458758 UOJ458758 UEN458758 TUR458758 TKV458758 TAZ458758 SRD458758 SHH458758 RXL458758 RNP458758 RDT458758 QTX458758 QKB458758 QAF458758 PQJ458758 PGN458758 OWR458758 OMV458758 OCZ458758 NTD458758 NJH458758 MZL458758 MPP458758 MFT458758 LVX458758 LMB458758 LCF458758 KSJ458758 KIN458758 JYR458758 JOV458758 JEZ458758 IVD458758 ILH458758 IBL458758 HRP458758 HHT458758 GXX458758 GOB458758 GEF458758 FUJ458758 FKN458758 FAR458758 EQV458758 EGZ458758 DXD458758 DNH458758 DDL458758 CTP458758 CJT458758 BZX458758 BQB458758 BGF458758 AWJ458758 AMN458758 ACR458758 SV458758 IZ458758 WVL393222 WLP393222 WBT393222 VRX393222 VIB393222 UYF393222 UOJ393222 UEN393222 TUR393222 TKV393222 TAZ393222 SRD393222 SHH393222 RXL393222 RNP393222 RDT393222 QTX393222 QKB393222 QAF393222 PQJ393222 PGN393222 OWR393222 OMV393222 OCZ393222 NTD393222 NJH393222 MZL393222 MPP393222 MFT393222 LVX393222 LMB393222 LCF393222 KSJ393222 KIN393222 JYR393222 JOV393222 JEZ393222 IVD393222 ILH393222 IBL393222 HRP393222 HHT393222 GXX393222 GOB393222 GEF393222 FUJ393222 FKN393222 FAR393222 EQV393222 EGZ393222 DXD393222 DNH393222 DDL393222 CTP393222 CJT393222 BZX393222 BQB393222 BGF393222 AWJ393222 AMN393222 ACR393222 SV393222 IZ393222 WVL327686 WLP327686 WBT327686 VRX327686 VIB327686 UYF327686 UOJ327686 UEN327686 TUR327686 TKV327686 TAZ327686 SRD327686 SHH327686 RXL327686 RNP327686 RDT327686 QTX327686 QKB327686 QAF327686 PQJ327686 PGN327686 OWR327686 OMV327686 OCZ327686 NTD327686 NJH327686 MZL327686 MPP327686 MFT327686 LVX327686 LMB327686 LCF327686 KSJ327686 KIN327686 JYR327686 JOV327686 JEZ327686 IVD327686 ILH327686 IBL327686 HRP327686 HHT327686 GXX327686 GOB327686 GEF327686 FUJ327686 FKN327686 FAR327686 EQV327686 EGZ327686 DXD327686 DNH327686 DDL327686 CTP327686 CJT327686 BZX327686 BQB327686 BGF327686 AWJ327686 AMN327686 ACR327686 SV327686 IZ327686 WVL262150 WLP262150 WBT262150 VRX262150 VIB262150 UYF262150 UOJ262150 UEN262150 TUR262150 TKV262150 TAZ262150 SRD262150 SHH262150 RXL262150 RNP262150 RDT262150 QTX262150 QKB262150 QAF262150 PQJ262150 PGN262150 OWR262150 OMV262150 OCZ262150 NTD262150 NJH262150 MZL262150 MPP262150 MFT262150 LVX262150 LMB262150 LCF262150 KSJ262150 KIN262150 JYR262150 JOV262150 JEZ262150 IVD262150 ILH262150 IBL262150 HRP262150 HHT262150 GXX262150 GOB262150 GEF262150 FUJ262150 FKN262150 FAR262150 EQV262150 EGZ262150 DXD262150 DNH262150 DDL262150 CTP262150 CJT262150 BZX262150 BQB262150 BGF262150 AWJ262150 AMN262150 ACR262150 SV262150 IZ262150 WVL196614 WLP196614 WBT196614 VRX196614 VIB196614 UYF196614 UOJ196614 UEN196614 TUR196614 TKV196614 TAZ196614 SRD196614 SHH196614 RXL196614 RNP196614 RDT196614 QTX196614 QKB196614 QAF196614 PQJ196614 PGN196614 OWR196614 OMV196614 OCZ196614 NTD196614 NJH196614 MZL196614 MPP196614 MFT196614 LVX196614 LMB196614 LCF196614 KSJ196614 KIN196614 JYR196614 JOV196614 JEZ196614 IVD196614 ILH196614 IBL196614 HRP196614 HHT196614 GXX196614 GOB196614 GEF196614 FUJ196614 FKN196614 FAR196614 EQV196614 EGZ196614 DXD196614 DNH196614 DDL196614 CTP196614 CJT196614 BZX196614 BQB196614 BGF196614 AWJ196614 AMN196614 ACR196614 SV196614 IZ196614 WVL131078 WLP131078 WBT131078 VRX131078 VIB131078 UYF131078 UOJ131078 UEN131078 TUR131078 TKV131078 TAZ131078 SRD131078 SHH131078 RXL131078 RNP131078 RDT131078 QTX131078 QKB131078 QAF131078 PQJ131078 PGN131078 OWR131078 OMV131078 OCZ131078 NTD131078 NJH131078 MZL131078 MPP131078 MFT131078 LVX131078 LMB131078 LCF131078 KSJ131078 KIN131078 JYR131078 JOV131078 JEZ131078 IVD131078 ILH131078 IBL131078 HRP131078 HHT131078 GXX131078 GOB131078 GEF131078 FUJ131078 FKN131078 FAR131078 EQV131078 EGZ131078 DXD131078 DNH131078 DDL131078 CTP131078 CJT131078 BZX131078 BQB131078 BGF131078 AWJ131078 AMN131078 ACR131078 SV131078 IZ131078 WVL65542 WLP65542 WBT65542 VRX65542 VIB65542 UYF65542 UOJ65542 UEN65542 TUR65542 TKV65542 TAZ65542 SRD65542 SHH65542 RXL65542 RNP65542 RDT65542 QTX65542 QKB65542 QAF65542 PQJ65542 PGN65542 OWR65542 OMV65542 OCZ65542 NTD65542 NJH65542 MZL65542 MPP65542 MFT65542 LVX65542 LMB65542 LCF65542 KSJ65542 KIN65542 JYR65542 JOV65542 JEZ65542 IVD65542 ILH65542 IBL65542 HRP65542 HHT65542 GXX65542 GOB65542 GEF65542 FUJ65542 FKN65542 FAR65542 EQV65542 EGZ65542 DXD65542 DNH65542 DDL65542 CTP65542 CJT65542 BZX65542 BQB65542 BGF65542 AWJ65542 AMN65542 ACR65542 SV65542 IZ65542">
      <formula1>0</formula1>
      <formula2>Io</formula2>
    </dataValidation>
    <dataValidation type="decimal" operator="greaterThanOrEqual" allowBlank="1" showInputMessage="1" showErrorMessage="1" errorTitle="Invalid Input" error="Enter a value greater than or equal to Iout." sqref="E65541 WLR9 WBV9 VRZ9 VID9 UYH9 UOL9 UEP9 TUT9 TKX9 TBB9 SRF9 SHJ9 RXN9 RNR9 RDV9 QTZ9 QKD9 QAH9 PQL9 PGP9 OWT9 OMX9 ODB9 NTF9 NJJ9 MZN9 MPR9 MFV9 LVZ9 LMD9 LCH9 KSL9 KIP9 JYT9 JOX9 JFB9 IVF9 ILJ9 IBN9 HRR9 HHV9 GXZ9 GOD9 GEH9 FUL9 FKP9 FAT9 EQX9 EHB9 DXF9 DNJ9 DDN9 CTR9 CJV9 BZZ9 BQD9 BGH9 AWL9 AMP9 ACT9 SX9 JB9 WVN9 E131077 E196613 E262149 E327685 E393221 E458757 E524293 E589829 E655365 E720901 E786437 E851973 E917509 E983045 WVN983046 WLR983046 WBV983046 VRZ983046 VID983046 UYH983046 UOL983046 UEP983046 TUT983046 TKX983046 TBB983046 SRF983046 SHJ983046 RXN983046 RNR983046 RDV983046 QTZ983046 QKD983046 QAH983046 PQL983046 PGP983046 OWT983046 OMX983046 ODB983046 NTF983046 NJJ983046 MZN983046 MPR983046 MFV983046 LVZ983046 LMD983046 LCH983046 KSL983046 KIP983046 JYT983046 JOX983046 JFB983046 IVF983046 ILJ983046 IBN983046 HRR983046 HHV983046 GXZ983046 GOD983046 GEH983046 FUL983046 FKP983046 FAT983046 EQX983046 EHB983046 DXF983046 DNJ983046 DDN983046 CTR983046 CJV983046 BZZ983046 BQD983046 BGH983046 AWL983046 AMP983046 ACT983046 SX983046 JB983046 WVN917510 WLR917510 WBV917510 VRZ917510 VID917510 UYH917510 UOL917510 UEP917510 TUT917510 TKX917510 TBB917510 SRF917510 SHJ917510 RXN917510 RNR917510 RDV917510 QTZ917510 QKD917510 QAH917510 PQL917510 PGP917510 OWT917510 OMX917510 ODB917510 NTF917510 NJJ917510 MZN917510 MPR917510 MFV917510 LVZ917510 LMD917510 LCH917510 KSL917510 KIP917510 JYT917510 JOX917510 JFB917510 IVF917510 ILJ917510 IBN917510 HRR917510 HHV917510 GXZ917510 GOD917510 GEH917510 FUL917510 FKP917510 FAT917510 EQX917510 EHB917510 DXF917510 DNJ917510 DDN917510 CTR917510 CJV917510 BZZ917510 BQD917510 BGH917510 AWL917510 AMP917510 ACT917510 SX917510 JB917510 WVN851974 WLR851974 WBV851974 VRZ851974 VID851974 UYH851974 UOL851974 UEP851974 TUT851974 TKX851974 TBB851974 SRF851974 SHJ851974 RXN851974 RNR851974 RDV851974 QTZ851974 QKD851974 QAH851974 PQL851974 PGP851974 OWT851974 OMX851974 ODB851974 NTF851974 NJJ851974 MZN851974 MPR851974 MFV851974 LVZ851974 LMD851974 LCH851974 KSL851974 KIP851974 JYT851974 JOX851974 JFB851974 IVF851974 ILJ851974 IBN851974 HRR851974 HHV851974 GXZ851974 GOD851974 GEH851974 FUL851974 FKP851974 FAT851974 EQX851974 EHB851974 DXF851974 DNJ851974 DDN851974 CTR851974 CJV851974 BZZ851974 BQD851974 BGH851974 AWL851974 AMP851974 ACT851974 SX851974 JB851974 WVN786438 WLR786438 WBV786438 VRZ786438 VID786438 UYH786438 UOL786438 UEP786438 TUT786438 TKX786438 TBB786438 SRF786438 SHJ786438 RXN786438 RNR786438 RDV786438 QTZ786438 QKD786438 QAH786438 PQL786438 PGP786438 OWT786438 OMX786438 ODB786438 NTF786438 NJJ786438 MZN786438 MPR786438 MFV786438 LVZ786438 LMD786438 LCH786438 KSL786438 KIP786438 JYT786438 JOX786438 JFB786438 IVF786438 ILJ786438 IBN786438 HRR786438 HHV786438 GXZ786438 GOD786438 GEH786438 FUL786438 FKP786438 FAT786438 EQX786438 EHB786438 DXF786438 DNJ786438 DDN786438 CTR786438 CJV786438 BZZ786438 BQD786438 BGH786438 AWL786438 AMP786438 ACT786438 SX786438 JB786438 WVN720902 WLR720902 WBV720902 VRZ720902 VID720902 UYH720902 UOL720902 UEP720902 TUT720902 TKX720902 TBB720902 SRF720902 SHJ720902 RXN720902 RNR720902 RDV720902 QTZ720902 QKD720902 QAH720902 PQL720902 PGP720902 OWT720902 OMX720902 ODB720902 NTF720902 NJJ720902 MZN720902 MPR720902 MFV720902 LVZ720902 LMD720902 LCH720902 KSL720902 KIP720902 JYT720902 JOX720902 JFB720902 IVF720902 ILJ720902 IBN720902 HRR720902 HHV720902 GXZ720902 GOD720902 GEH720902 FUL720902 FKP720902 FAT720902 EQX720902 EHB720902 DXF720902 DNJ720902 DDN720902 CTR720902 CJV720902 BZZ720902 BQD720902 BGH720902 AWL720902 AMP720902 ACT720902 SX720902 JB720902 WVN655366 WLR655366 WBV655366 VRZ655366 VID655366 UYH655366 UOL655366 UEP655366 TUT655366 TKX655366 TBB655366 SRF655366 SHJ655366 RXN655366 RNR655366 RDV655366 QTZ655366 QKD655366 QAH655366 PQL655366 PGP655366 OWT655366 OMX655366 ODB655366 NTF655366 NJJ655366 MZN655366 MPR655366 MFV655366 LVZ655366 LMD655366 LCH655366 KSL655366 KIP655366 JYT655366 JOX655366 JFB655366 IVF655366 ILJ655366 IBN655366 HRR655366 HHV655366 GXZ655366 GOD655366 GEH655366 FUL655366 FKP655366 FAT655366 EQX655366 EHB655366 DXF655366 DNJ655366 DDN655366 CTR655366 CJV655366 BZZ655366 BQD655366 BGH655366 AWL655366 AMP655366 ACT655366 SX655366 JB655366 WVN589830 WLR589830 WBV589830 VRZ589830 VID589830 UYH589830 UOL589830 UEP589830 TUT589830 TKX589830 TBB589830 SRF589830 SHJ589830 RXN589830 RNR589830 RDV589830 QTZ589830 QKD589830 QAH589830 PQL589830 PGP589830 OWT589830 OMX589830 ODB589830 NTF589830 NJJ589830 MZN589830 MPR589830 MFV589830 LVZ589830 LMD589830 LCH589830 KSL589830 KIP589830 JYT589830 JOX589830 JFB589830 IVF589830 ILJ589830 IBN589830 HRR589830 HHV589830 GXZ589830 GOD589830 GEH589830 FUL589830 FKP589830 FAT589830 EQX589830 EHB589830 DXF589830 DNJ589830 DDN589830 CTR589830 CJV589830 BZZ589830 BQD589830 BGH589830 AWL589830 AMP589830 ACT589830 SX589830 JB589830 WVN524294 WLR524294 WBV524294 VRZ524294 VID524294 UYH524294 UOL524294 UEP524294 TUT524294 TKX524294 TBB524294 SRF524294 SHJ524294 RXN524294 RNR524294 RDV524294 QTZ524294 QKD524294 QAH524294 PQL524294 PGP524294 OWT524294 OMX524294 ODB524294 NTF524294 NJJ524294 MZN524294 MPR524294 MFV524294 LVZ524294 LMD524294 LCH524294 KSL524294 KIP524294 JYT524294 JOX524294 JFB524294 IVF524294 ILJ524294 IBN524294 HRR524294 HHV524294 GXZ524294 GOD524294 GEH524294 FUL524294 FKP524294 FAT524294 EQX524294 EHB524294 DXF524294 DNJ524294 DDN524294 CTR524294 CJV524294 BZZ524294 BQD524294 BGH524294 AWL524294 AMP524294 ACT524294 SX524294 JB524294 WVN458758 WLR458758 WBV458758 VRZ458758 VID458758 UYH458758 UOL458758 UEP458758 TUT458758 TKX458758 TBB458758 SRF458758 SHJ458758 RXN458758 RNR458758 RDV458758 QTZ458758 QKD458758 QAH458758 PQL458758 PGP458758 OWT458758 OMX458758 ODB458758 NTF458758 NJJ458758 MZN458758 MPR458758 MFV458758 LVZ458758 LMD458758 LCH458758 KSL458758 KIP458758 JYT458758 JOX458758 JFB458758 IVF458758 ILJ458758 IBN458758 HRR458758 HHV458758 GXZ458758 GOD458758 GEH458758 FUL458758 FKP458758 FAT458758 EQX458758 EHB458758 DXF458758 DNJ458758 DDN458758 CTR458758 CJV458758 BZZ458758 BQD458758 BGH458758 AWL458758 AMP458758 ACT458758 SX458758 JB458758 WVN393222 WLR393222 WBV393222 VRZ393222 VID393222 UYH393222 UOL393222 UEP393222 TUT393222 TKX393222 TBB393222 SRF393222 SHJ393222 RXN393222 RNR393222 RDV393222 QTZ393222 QKD393222 QAH393222 PQL393222 PGP393222 OWT393222 OMX393222 ODB393222 NTF393222 NJJ393222 MZN393222 MPR393222 MFV393222 LVZ393222 LMD393222 LCH393222 KSL393222 KIP393222 JYT393222 JOX393222 JFB393222 IVF393222 ILJ393222 IBN393222 HRR393222 HHV393222 GXZ393222 GOD393222 GEH393222 FUL393222 FKP393222 FAT393222 EQX393222 EHB393222 DXF393222 DNJ393222 DDN393222 CTR393222 CJV393222 BZZ393222 BQD393222 BGH393222 AWL393222 AMP393222 ACT393222 SX393222 JB393222 WVN327686 WLR327686 WBV327686 VRZ327686 VID327686 UYH327686 UOL327686 UEP327686 TUT327686 TKX327686 TBB327686 SRF327686 SHJ327686 RXN327686 RNR327686 RDV327686 QTZ327686 QKD327686 QAH327686 PQL327686 PGP327686 OWT327686 OMX327686 ODB327686 NTF327686 NJJ327686 MZN327686 MPR327686 MFV327686 LVZ327686 LMD327686 LCH327686 KSL327686 KIP327686 JYT327686 JOX327686 JFB327686 IVF327686 ILJ327686 IBN327686 HRR327686 HHV327686 GXZ327686 GOD327686 GEH327686 FUL327686 FKP327686 FAT327686 EQX327686 EHB327686 DXF327686 DNJ327686 DDN327686 CTR327686 CJV327686 BZZ327686 BQD327686 BGH327686 AWL327686 AMP327686 ACT327686 SX327686 JB327686 WVN262150 WLR262150 WBV262150 VRZ262150 VID262150 UYH262150 UOL262150 UEP262150 TUT262150 TKX262150 TBB262150 SRF262150 SHJ262150 RXN262150 RNR262150 RDV262150 QTZ262150 QKD262150 QAH262150 PQL262150 PGP262150 OWT262150 OMX262150 ODB262150 NTF262150 NJJ262150 MZN262150 MPR262150 MFV262150 LVZ262150 LMD262150 LCH262150 KSL262150 KIP262150 JYT262150 JOX262150 JFB262150 IVF262150 ILJ262150 IBN262150 HRR262150 HHV262150 GXZ262150 GOD262150 GEH262150 FUL262150 FKP262150 FAT262150 EQX262150 EHB262150 DXF262150 DNJ262150 DDN262150 CTR262150 CJV262150 BZZ262150 BQD262150 BGH262150 AWL262150 AMP262150 ACT262150 SX262150 JB262150 WVN196614 WLR196614 WBV196614 VRZ196614 VID196614 UYH196614 UOL196614 UEP196614 TUT196614 TKX196614 TBB196614 SRF196614 SHJ196614 RXN196614 RNR196614 RDV196614 QTZ196614 QKD196614 QAH196614 PQL196614 PGP196614 OWT196614 OMX196614 ODB196614 NTF196614 NJJ196614 MZN196614 MPR196614 MFV196614 LVZ196614 LMD196614 LCH196614 KSL196614 KIP196614 JYT196614 JOX196614 JFB196614 IVF196614 ILJ196614 IBN196614 HRR196614 HHV196614 GXZ196614 GOD196614 GEH196614 FUL196614 FKP196614 FAT196614 EQX196614 EHB196614 DXF196614 DNJ196614 DDN196614 CTR196614 CJV196614 BZZ196614 BQD196614 BGH196614 AWL196614 AMP196614 ACT196614 SX196614 JB196614 WVN131078 WLR131078 WBV131078 VRZ131078 VID131078 UYH131078 UOL131078 UEP131078 TUT131078 TKX131078 TBB131078 SRF131078 SHJ131078 RXN131078 RNR131078 RDV131078 QTZ131078 QKD131078 QAH131078 PQL131078 PGP131078 OWT131078 OMX131078 ODB131078 NTF131078 NJJ131078 MZN131078 MPR131078 MFV131078 LVZ131078 LMD131078 LCH131078 KSL131078 KIP131078 JYT131078 JOX131078 JFB131078 IVF131078 ILJ131078 IBN131078 HRR131078 HHV131078 GXZ131078 GOD131078 GEH131078 FUL131078 FKP131078 FAT131078 EQX131078 EHB131078 DXF131078 DNJ131078 DDN131078 CTR131078 CJV131078 BZZ131078 BQD131078 BGH131078 AWL131078 AMP131078 ACT131078 SX131078 JB131078 WVN65542 WLR65542 WBV65542 VRZ65542 VID65542 UYH65542 UOL65542 UEP65542 TUT65542 TKX65542 TBB65542 SRF65542 SHJ65542 RXN65542 RNR65542 RDV65542 QTZ65542 QKD65542 QAH65542 PQL65542 PGP65542 OWT65542 OMX65542 ODB65542 NTF65542 NJJ65542 MZN65542 MPR65542 MFV65542 LVZ65542 LMD65542 LCH65542 KSL65542 KIP65542 JYT65542 JOX65542 JFB65542 IVF65542 ILJ65542 IBN65542 HRR65542 HHV65542 GXZ65542 GOD65542 GEH65542 FUL65542 FKP65542 FAT65542 EQX65542 EHB65542 DXF65542 DNJ65542 DDN65542 CTR65542 CJV65542 BZZ65542 BQD65542 BGH65542 AWL65542 AMP65542 ACT65542 SX65542 JB65542">
      <formula1>Io</formula1>
    </dataValidation>
    <dataValidation type="decimal" allowBlank="1" showInputMessage="1" showErrorMessage="1" errorTitle="Invalid Input" error="Enter a value between 0 and Vd_typ." sqref="C65542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IZ10 C10 C131078 C196614 C262150 C327686 C393222 C458758 C524294 C589830 C655366 C720902 C786438 C851974 C917510 C983046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IZ65543">
      <formula1>0</formula1>
      <formula2>Vd</formula2>
    </dataValidation>
    <dataValidation type="decimal" operator="greaterThanOrEqual" allowBlank="1" showInputMessage="1" showErrorMessage="1" errorTitle="Invalid Input" error="Enter a value greater than or equal to Ltyp" sqref="E65547 WLR15 WBV15 VRZ15 VID15 UYH15 UOL15 UEP15 TUT15 TKX15 TBB15 SRF15 SHJ15 RXN15 RNR15 RDV15 QTZ15 QKD15 QAH15 PQL15 PGP15 OWT15 OMX15 ODB15 NTF15 NJJ15 MZN15 MPR15 MFV15 LVZ15 LMD15 LCH15 KSL15 KIP15 JYT15 JOX15 JFB15 IVF15 ILJ15 IBN15 HRR15 HHV15 GXZ15 GOD15 GEH15 FUL15 FKP15 FAT15 EQX15 EHB15 DXF15 DNJ15 DDN15 CTR15 CJV15 BZZ15 BQD15 BGH15 AWL15 AMP15 ACT15 SX15 JB15 WVN15 E131083 E196619 E262155 E327691 E393227 E458763 E524299 E589835 E655371 E720907 E786443 E851979 E917515 E983051 WVN983052 WLR983052 WBV983052 VRZ983052 VID983052 UYH983052 UOL983052 UEP983052 TUT983052 TKX983052 TBB983052 SRF983052 SHJ983052 RXN983052 RNR983052 RDV983052 QTZ983052 QKD983052 QAH983052 PQL983052 PGP983052 OWT983052 OMX983052 ODB983052 NTF983052 NJJ983052 MZN983052 MPR983052 MFV983052 LVZ983052 LMD983052 LCH983052 KSL983052 KIP983052 JYT983052 JOX983052 JFB983052 IVF983052 ILJ983052 IBN983052 HRR983052 HHV983052 GXZ983052 GOD983052 GEH983052 FUL983052 FKP983052 FAT983052 EQX983052 EHB983052 DXF983052 DNJ983052 DDN983052 CTR983052 CJV983052 BZZ983052 BQD983052 BGH983052 AWL983052 AMP983052 ACT983052 SX983052 JB983052 WVN917516 WLR917516 WBV917516 VRZ917516 VID917516 UYH917516 UOL917516 UEP917516 TUT917516 TKX917516 TBB917516 SRF917516 SHJ917516 RXN917516 RNR917516 RDV917516 QTZ917516 QKD917516 QAH917516 PQL917516 PGP917516 OWT917516 OMX917516 ODB917516 NTF917516 NJJ917516 MZN917516 MPR917516 MFV917516 LVZ917516 LMD917516 LCH917516 KSL917516 KIP917516 JYT917516 JOX917516 JFB917516 IVF917516 ILJ917516 IBN917516 HRR917516 HHV917516 GXZ917516 GOD917516 GEH917516 FUL917516 FKP917516 FAT917516 EQX917516 EHB917516 DXF917516 DNJ917516 DDN917516 CTR917516 CJV917516 BZZ917516 BQD917516 BGH917516 AWL917516 AMP917516 ACT917516 SX917516 JB917516 WVN851980 WLR851980 WBV851980 VRZ851980 VID851980 UYH851980 UOL851980 UEP851980 TUT851980 TKX851980 TBB851980 SRF851980 SHJ851980 RXN851980 RNR851980 RDV851980 QTZ851980 QKD851980 QAH851980 PQL851980 PGP851980 OWT851980 OMX851980 ODB851980 NTF851980 NJJ851980 MZN851980 MPR851980 MFV851980 LVZ851980 LMD851980 LCH851980 KSL851980 KIP851980 JYT851980 JOX851980 JFB851980 IVF851980 ILJ851980 IBN851980 HRR851980 HHV851980 GXZ851980 GOD851980 GEH851980 FUL851980 FKP851980 FAT851980 EQX851980 EHB851980 DXF851980 DNJ851980 DDN851980 CTR851980 CJV851980 BZZ851980 BQD851980 BGH851980 AWL851980 AMP851980 ACT851980 SX851980 JB851980 WVN786444 WLR786444 WBV786444 VRZ786444 VID786444 UYH786444 UOL786444 UEP786444 TUT786444 TKX786444 TBB786444 SRF786444 SHJ786444 RXN786444 RNR786444 RDV786444 QTZ786444 QKD786444 QAH786444 PQL786444 PGP786444 OWT786444 OMX786444 ODB786444 NTF786444 NJJ786444 MZN786444 MPR786444 MFV786444 LVZ786444 LMD786444 LCH786444 KSL786444 KIP786444 JYT786444 JOX786444 JFB786444 IVF786444 ILJ786444 IBN786444 HRR786444 HHV786444 GXZ786444 GOD786444 GEH786444 FUL786444 FKP786444 FAT786444 EQX786444 EHB786444 DXF786444 DNJ786444 DDN786444 CTR786444 CJV786444 BZZ786444 BQD786444 BGH786444 AWL786444 AMP786444 ACT786444 SX786444 JB786444 WVN720908 WLR720908 WBV720908 VRZ720908 VID720908 UYH720908 UOL720908 UEP720908 TUT720908 TKX720908 TBB720908 SRF720908 SHJ720908 RXN720908 RNR720908 RDV720908 QTZ720908 QKD720908 QAH720908 PQL720908 PGP720908 OWT720908 OMX720908 ODB720908 NTF720908 NJJ720908 MZN720908 MPR720908 MFV720908 LVZ720908 LMD720908 LCH720908 KSL720908 KIP720908 JYT720908 JOX720908 JFB720908 IVF720908 ILJ720908 IBN720908 HRR720908 HHV720908 GXZ720908 GOD720908 GEH720908 FUL720908 FKP720908 FAT720908 EQX720908 EHB720908 DXF720908 DNJ720908 DDN720908 CTR720908 CJV720908 BZZ720908 BQD720908 BGH720908 AWL720908 AMP720908 ACT720908 SX720908 JB720908 WVN655372 WLR655372 WBV655372 VRZ655372 VID655372 UYH655372 UOL655372 UEP655372 TUT655372 TKX655372 TBB655372 SRF655372 SHJ655372 RXN655372 RNR655372 RDV655372 QTZ655372 QKD655372 QAH655372 PQL655372 PGP655372 OWT655372 OMX655372 ODB655372 NTF655372 NJJ655372 MZN655372 MPR655372 MFV655372 LVZ655372 LMD655372 LCH655372 KSL655372 KIP655372 JYT655372 JOX655372 JFB655372 IVF655372 ILJ655372 IBN655372 HRR655372 HHV655372 GXZ655372 GOD655372 GEH655372 FUL655372 FKP655372 FAT655372 EQX655372 EHB655372 DXF655372 DNJ655372 DDN655372 CTR655372 CJV655372 BZZ655372 BQD655372 BGH655372 AWL655372 AMP655372 ACT655372 SX655372 JB655372 WVN589836 WLR589836 WBV589836 VRZ589836 VID589836 UYH589836 UOL589836 UEP589836 TUT589836 TKX589836 TBB589836 SRF589836 SHJ589836 RXN589836 RNR589836 RDV589836 QTZ589836 QKD589836 QAH589836 PQL589836 PGP589836 OWT589836 OMX589836 ODB589836 NTF589836 NJJ589836 MZN589836 MPR589836 MFV589836 LVZ589836 LMD589836 LCH589836 KSL589836 KIP589836 JYT589836 JOX589836 JFB589836 IVF589836 ILJ589836 IBN589836 HRR589836 HHV589836 GXZ589836 GOD589836 GEH589836 FUL589836 FKP589836 FAT589836 EQX589836 EHB589836 DXF589836 DNJ589836 DDN589836 CTR589836 CJV589836 BZZ589836 BQD589836 BGH589836 AWL589836 AMP589836 ACT589836 SX589836 JB589836 WVN524300 WLR524300 WBV524300 VRZ524300 VID524300 UYH524300 UOL524300 UEP524300 TUT524300 TKX524300 TBB524300 SRF524300 SHJ524300 RXN524300 RNR524300 RDV524300 QTZ524300 QKD524300 QAH524300 PQL524300 PGP524300 OWT524300 OMX524300 ODB524300 NTF524300 NJJ524300 MZN524300 MPR524300 MFV524300 LVZ524300 LMD524300 LCH524300 KSL524300 KIP524300 JYT524300 JOX524300 JFB524300 IVF524300 ILJ524300 IBN524300 HRR524300 HHV524300 GXZ524300 GOD524300 GEH524300 FUL524300 FKP524300 FAT524300 EQX524300 EHB524300 DXF524300 DNJ524300 DDN524300 CTR524300 CJV524300 BZZ524300 BQD524300 BGH524300 AWL524300 AMP524300 ACT524300 SX524300 JB524300 WVN458764 WLR458764 WBV458764 VRZ458764 VID458764 UYH458764 UOL458764 UEP458764 TUT458764 TKX458764 TBB458764 SRF458764 SHJ458764 RXN458764 RNR458764 RDV458764 QTZ458764 QKD458764 QAH458764 PQL458764 PGP458764 OWT458764 OMX458764 ODB458764 NTF458764 NJJ458764 MZN458764 MPR458764 MFV458764 LVZ458764 LMD458764 LCH458764 KSL458764 KIP458764 JYT458764 JOX458764 JFB458764 IVF458764 ILJ458764 IBN458764 HRR458764 HHV458764 GXZ458764 GOD458764 GEH458764 FUL458764 FKP458764 FAT458764 EQX458764 EHB458764 DXF458764 DNJ458764 DDN458764 CTR458764 CJV458764 BZZ458764 BQD458764 BGH458764 AWL458764 AMP458764 ACT458764 SX458764 JB458764 WVN393228 WLR393228 WBV393228 VRZ393228 VID393228 UYH393228 UOL393228 UEP393228 TUT393228 TKX393228 TBB393228 SRF393228 SHJ393228 RXN393228 RNR393228 RDV393228 QTZ393228 QKD393228 QAH393228 PQL393228 PGP393228 OWT393228 OMX393228 ODB393228 NTF393228 NJJ393228 MZN393228 MPR393228 MFV393228 LVZ393228 LMD393228 LCH393228 KSL393228 KIP393228 JYT393228 JOX393228 JFB393228 IVF393228 ILJ393228 IBN393228 HRR393228 HHV393228 GXZ393228 GOD393228 GEH393228 FUL393228 FKP393228 FAT393228 EQX393228 EHB393228 DXF393228 DNJ393228 DDN393228 CTR393228 CJV393228 BZZ393228 BQD393228 BGH393228 AWL393228 AMP393228 ACT393228 SX393228 JB393228 WVN327692 WLR327692 WBV327692 VRZ327692 VID327692 UYH327692 UOL327692 UEP327692 TUT327692 TKX327692 TBB327692 SRF327692 SHJ327692 RXN327692 RNR327692 RDV327692 QTZ327692 QKD327692 QAH327692 PQL327692 PGP327692 OWT327692 OMX327692 ODB327692 NTF327692 NJJ327692 MZN327692 MPR327692 MFV327692 LVZ327692 LMD327692 LCH327692 KSL327692 KIP327692 JYT327692 JOX327692 JFB327692 IVF327692 ILJ327692 IBN327692 HRR327692 HHV327692 GXZ327692 GOD327692 GEH327692 FUL327692 FKP327692 FAT327692 EQX327692 EHB327692 DXF327692 DNJ327692 DDN327692 CTR327692 CJV327692 BZZ327692 BQD327692 BGH327692 AWL327692 AMP327692 ACT327692 SX327692 JB327692 WVN262156 WLR262156 WBV262156 VRZ262156 VID262156 UYH262156 UOL262156 UEP262156 TUT262156 TKX262156 TBB262156 SRF262156 SHJ262156 RXN262156 RNR262156 RDV262156 QTZ262156 QKD262156 QAH262156 PQL262156 PGP262156 OWT262156 OMX262156 ODB262156 NTF262156 NJJ262156 MZN262156 MPR262156 MFV262156 LVZ262156 LMD262156 LCH262156 KSL262156 KIP262156 JYT262156 JOX262156 JFB262156 IVF262156 ILJ262156 IBN262156 HRR262156 HHV262156 GXZ262156 GOD262156 GEH262156 FUL262156 FKP262156 FAT262156 EQX262156 EHB262156 DXF262156 DNJ262156 DDN262156 CTR262156 CJV262156 BZZ262156 BQD262156 BGH262156 AWL262156 AMP262156 ACT262156 SX262156 JB262156 WVN196620 WLR196620 WBV196620 VRZ196620 VID196620 UYH196620 UOL196620 UEP196620 TUT196620 TKX196620 TBB196620 SRF196620 SHJ196620 RXN196620 RNR196620 RDV196620 QTZ196620 QKD196620 QAH196620 PQL196620 PGP196620 OWT196620 OMX196620 ODB196620 NTF196620 NJJ196620 MZN196620 MPR196620 MFV196620 LVZ196620 LMD196620 LCH196620 KSL196620 KIP196620 JYT196620 JOX196620 JFB196620 IVF196620 ILJ196620 IBN196620 HRR196620 HHV196620 GXZ196620 GOD196620 GEH196620 FUL196620 FKP196620 FAT196620 EQX196620 EHB196620 DXF196620 DNJ196620 DDN196620 CTR196620 CJV196620 BZZ196620 BQD196620 BGH196620 AWL196620 AMP196620 ACT196620 SX196620 JB196620 WVN131084 WLR131084 WBV131084 VRZ131084 VID131084 UYH131084 UOL131084 UEP131084 TUT131084 TKX131084 TBB131084 SRF131084 SHJ131084 RXN131084 RNR131084 RDV131084 QTZ131084 QKD131084 QAH131084 PQL131084 PGP131084 OWT131084 OMX131084 ODB131084 NTF131084 NJJ131084 MZN131084 MPR131084 MFV131084 LVZ131084 LMD131084 LCH131084 KSL131084 KIP131084 JYT131084 JOX131084 JFB131084 IVF131084 ILJ131084 IBN131084 HRR131084 HHV131084 GXZ131084 GOD131084 GEH131084 FUL131084 FKP131084 FAT131084 EQX131084 EHB131084 DXF131084 DNJ131084 DDN131084 CTR131084 CJV131084 BZZ131084 BQD131084 BGH131084 AWL131084 AMP131084 ACT131084 SX131084 JB131084 WVN65548 WLR65548 WBV65548 VRZ65548 VID65548 UYH65548 UOL65548 UEP65548 TUT65548 TKX65548 TBB65548 SRF65548 SHJ65548 RXN65548 RNR65548 RDV65548 QTZ65548 QKD65548 QAH65548 PQL65548 PGP65548 OWT65548 OMX65548 ODB65548 NTF65548 NJJ65548 MZN65548 MPR65548 MFV65548 LVZ65548 LMD65548 LCH65548 KSL65548 KIP65548 JYT65548 JOX65548 JFB65548 IVF65548 ILJ65548 IBN65548 HRR65548 HHV65548 GXZ65548 GOD65548 GEH65548 FUL65548 FKP65548 FAT65548 EQX65548 EHB65548 DXF65548 DNJ65548 DDN65548 CTR65548 CJV65548 BZZ65548 BQD65548 BGH65548 AWL65548 AMP65548 ACT65548 SX65548 JB65548">
      <formula1>L</formula1>
    </dataValidation>
    <dataValidation type="decimal" allowBlank="1" showInputMessage="1" showErrorMessage="1" errorTitle="Invalid Input" error="Enter a value between Lc and Ltyp. " sqref="C65547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WVL15 C131083 C196619 C262155 C327691 C393227 C458763 C524299 C589835 C655371 C720907 C786443 C851979 C917515 C983051 WVL983052 WLP983052 WBT983052 VRX983052 VIB983052 UYF983052 UOJ983052 UEN983052 TUR983052 TKV983052 TAZ983052 SRD983052 SHH983052 RXL983052 RNP983052 RDT983052 QTX983052 QKB983052 QAF983052 PQJ983052 PGN983052 OWR983052 OMV983052 OCZ983052 NTD983052 NJH983052 MZL983052 MPP983052 MFT983052 LVX983052 LMB983052 LCF983052 KSJ983052 KIN983052 JYR983052 JOV983052 JEZ983052 IVD983052 ILH983052 IBL983052 HRP983052 HHT983052 GXX983052 GOB983052 GEF983052 FUJ983052 FKN983052 FAR983052 EQV983052 EGZ983052 DXD983052 DNH983052 DDL983052 CTP983052 CJT983052 BZX983052 BQB983052 BGF983052 AWJ983052 AMN983052 ACR983052 SV983052 IZ983052 WVL917516 WLP917516 WBT917516 VRX917516 VIB917516 UYF917516 UOJ917516 UEN917516 TUR917516 TKV917516 TAZ917516 SRD917516 SHH917516 RXL917516 RNP917516 RDT917516 QTX917516 QKB917516 QAF917516 PQJ917516 PGN917516 OWR917516 OMV917516 OCZ917516 NTD917516 NJH917516 MZL917516 MPP917516 MFT917516 LVX917516 LMB917516 LCF917516 KSJ917516 KIN917516 JYR917516 JOV917516 JEZ917516 IVD917516 ILH917516 IBL917516 HRP917516 HHT917516 GXX917516 GOB917516 GEF917516 FUJ917516 FKN917516 FAR917516 EQV917516 EGZ917516 DXD917516 DNH917516 DDL917516 CTP917516 CJT917516 BZX917516 BQB917516 BGF917516 AWJ917516 AMN917516 ACR917516 SV917516 IZ917516 WVL851980 WLP851980 WBT851980 VRX851980 VIB851980 UYF851980 UOJ851980 UEN851980 TUR851980 TKV851980 TAZ851980 SRD851980 SHH851980 RXL851980 RNP851980 RDT851980 QTX851980 QKB851980 QAF851980 PQJ851980 PGN851980 OWR851980 OMV851980 OCZ851980 NTD851980 NJH851980 MZL851980 MPP851980 MFT851980 LVX851980 LMB851980 LCF851980 KSJ851980 KIN851980 JYR851980 JOV851980 JEZ851980 IVD851980 ILH851980 IBL851980 HRP851980 HHT851980 GXX851980 GOB851980 GEF851980 FUJ851980 FKN851980 FAR851980 EQV851980 EGZ851980 DXD851980 DNH851980 DDL851980 CTP851980 CJT851980 BZX851980 BQB851980 BGF851980 AWJ851980 AMN851980 ACR851980 SV851980 IZ851980 WVL786444 WLP786444 WBT786444 VRX786444 VIB786444 UYF786444 UOJ786444 UEN786444 TUR786444 TKV786444 TAZ786444 SRD786444 SHH786444 RXL786444 RNP786444 RDT786444 QTX786444 QKB786444 QAF786444 PQJ786444 PGN786444 OWR786444 OMV786444 OCZ786444 NTD786444 NJH786444 MZL786444 MPP786444 MFT786444 LVX786444 LMB786444 LCF786444 KSJ786444 KIN786444 JYR786444 JOV786444 JEZ786444 IVD786444 ILH786444 IBL786444 HRP786444 HHT786444 GXX786444 GOB786444 GEF786444 FUJ786444 FKN786444 FAR786444 EQV786444 EGZ786444 DXD786444 DNH786444 DDL786444 CTP786444 CJT786444 BZX786444 BQB786444 BGF786444 AWJ786444 AMN786444 ACR786444 SV786444 IZ786444 WVL720908 WLP720908 WBT720908 VRX720908 VIB720908 UYF720908 UOJ720908 UEN720908 TUR720908 TKV720908 TAZ720908 SRD720908 SHH720908 RXL720908 RNP720908 RDT720908 QTX720908 QKB720908 QAF720908 PQJ720908 PGN720908 OWR720908 OMV720908 OCZ720908 NTD720908 NJH720908 MZL720908 MPP720908 MFT720908 LVX720908 LMB720908 LCF720908 KSJ720908 KIN720908 JYR720908 JOV720908 JEZ720908 IVD720908 ILH720908 IBL720908 HRP720908 HHT720908 GXX720908 GOB720908 GEF720908 FUJ720908 FKN720908 FAR720908 EQV720908 EGZ720908 DXD720908 DNH720908 DDL720908 CTP720908 CJT720908 BZX720908 BQB720908 BGF720908 AWJ720908 AMN720908 ACR720908 SV720908 IZ720908 WVL655372 WLP655372 WBT655372 VRX655372 VIB655372 UYF655372 UOJ655372 UEN655372 TUR655372 TKV655372 TAZ655372 SRD655372 SHH655372 RXL655372 RNP655372 RDT655372 QTX655372 QKB655372 QAF655372 PQJ655372 PGN655372 OWR655372 OMV655372 OCZ655372 NTD655372 NJH655372 MZL655372 MPP655372 MFT655372 LVX655372 LMB655372 LCF655372 KSJ655372 KIN655372 JYR655372 JOV655372 JEZ655372 IVD655372 ILH655372 IBL655372 HRP655372 HHT655372 GXX655372 GOB655372 GEF655372 FUJ655372 FKN655372 FAR655372 EQV655372 EGZ655372 DXD655372 DNH655372 DDL655372 CTP655372 CJT655372 BZX655372 BQB655372 BGF655372 AWJ655372 AMN655372 ACR655372 SV655372 IZ655372 WVL589836 WLP589836 WBT589836 VRX589836 VIB589836 UYF589836 UOJ589836 UEN589836 TUR589836 TKV589836 TAZ589836 SRD589836 SHH589836 RXL589836 RNP589836 RDT589836 QTX589836 QKB589836 QAF589836 PQJ589836 PGN589836 OWR589836 OMV589836 OCZ589836 NTD589836 NJH589836 MZL589836 MPP589836 MFT589836 LVX589836 LMB589836 LCF589836 KSJ589836 KIN589836 JYR589836 JOV589836 JEZ589836 IVD589836 ILH589836 IBL589836 HRP589836 HHT589836 GXX589836 GOB589836 GEF589836 FUJ589836 FKN589836 FAR589836 EQV589836 EGZ589836 DXD589836 DNH589836 DDL589836 CTP589836 CJT589836 BZX589836 BQB589836 BGF589836 AWJ589836 AMN589836 ACR589836 SV589836 IZ589836 WVL524300 WLP524300 WBT524300 VRX524300 VIB524300 UYF524300 UOJ524300 UEN524300 TUR524300 TKV524300 TAZ524300 SRD524300 SHH524300 RXL524300 RNP524300 RDT524300 QTX524300 QKB524300 QAF524300 PQJ524300 PGN524300 OWR524300 OMV524300 OCZ524300 NTD524300 NJH524300 MZL524300 MPP524300 MFT524300 LVX524300 LMB524300 LCF524300 KSJ524300 KIN524300 JYR524300 JOV524300 JEZ524300 IVD524300 ILH524300 IBL524300 HRP524300 HHT524300 GXX524300 GOB524300 GEF524300 FUJ524300 FKN524300 FAR524300 EQV524300 EGZ524300 DXD524300 DNH524300 DDL524300 CTP524300 CJT524300 BZX524300 BQB524300 BGF524300 AWJ524300 AMN524300 ACR524300 SV524300 IZ524300 WVL458764 WLP458764 WBT458764 VRX458764 VIB458764 UYF458764 UOJ458764 UEN458764 TUR458764 TKV458764 TAZ458764 SRD458764 SHH458764 RXL458764 RNP458764 RDT458764 QTX458764 QKB458764 QAF458764 PQJ458764 PGN458764 OWR458764 OMV458764 OCZ458764 NTD458764 NJH458764 MZL458764 MPP458764 MFT458764 LVX458764 LMB458764 LCF458764 KSJ458764 KIN458764 JYR458764 JOV458764 JEZ458764 IVD458764 ILH458764 IBL458764 HRP458764 HHT458764 GXX458764 GOB458764 GEF458764 FUJ458764 FKN458764 FAR458764 EQV458764 EGZ458764 DXD458764 DNH458764 DDL458764 CTP458764 CJT458764 BZX458764 BQB458764 BGF458764 AWJ458764 AMN458764 ACR458764 SV458764 IZ458764 WVL393228 WLP393228 WBT393228 VRX393228 VIB393228 UYF393228 UOJ393228 UEN393228 TUR393228 TKV393228 TAZ393228 SRD393228 SHH393228 RXL393228 RNP393228 RDT393228 QTX393228 QKB393228 QAF393228 PQJ393228 PGN393228 OWR393228 OMV393228 OCZ393228 NTD393228 NJH393228 MZL393228 MPP393228 MFT393228 LVX393228 LMB393228 LCF393228 KSJ393228 KIN393228 JYR393228 JOV393228 JEZ393228 IVD393228 ILH393228 IBL393228 HRP393228 HHT393228 GXX393228 GOB393228 GEF393228 FUJ393228 FKN393228 FAR393228 EQV393228 EGZ393228 DXD393228 DNH393228 DDL393228 CTP393228 CJT393228 BZX393228 BQB393228 BGF393228 AWJ393228 AMN393228 ACR393228 SV393228 IZ393228 WVL327692 WLP327692 WBT327692 VRX327692 VIB327692 UYF327692 UOJ327692 UEN327692 TUR327692 TKV327692 TAZ327692 SRD327692 SHH327692 RXL327692 RNP327692 RDT327692 QTX327692 QKB327692 QAF327692 PQJ327692 PGN327692 OWR327692 OMV327692 OCZ327692 NTD327692 NJH327692 MZL327692 MPP327692 MFT327692 LVX327692 LMB327692 LCF327692 KSJ327692 KIN327692 JYR327692 JOV327692 JEZ327692 IVD327692 ILH327692 IBL327692 HRP327692 HHT327692 GXX327692 GOB327692 GEF327692 FUJ327692 FKN327692 FAR327692 EQV327692 EGZ327692 DXD327692 DNH327692 DDL327692 CTP327692 CJT327692 BZX327692 BQB327692 BGF327692 AWJ327692 AMN327692 ACR327692 SV327692 IZ327692 WVL262156 WLP262156 WBT262156 VRX262156 VIB262156 UYF262156 UOJ262156 UEN262156 TUR262156 TKV262156 TAZ262156 SRD262156 SHH262156 RXL262156 RNP262156 RDT262156 QTX262156 QKB262156 QAF262156 PQJ262156 PGN262156 OWR262156 OMV262156 OCZ262156 NTD262156 NJH262156 MZL262156 MPP262156 MFT262156 LVX262156 LMB262156 LCF262156 KSJ262156 KIN262156 JYR262156 JOV262156 JEZ262156 IVD262156 ILH262156 IBL262156 HRP262156 HHT262156 GXX262156 GOB262156 GEF262156 FUJ262156 FKN262156 FAR262156 EQV262156 EGZ262156 DXD262156 DNH262156 DDL262156 CTP262156 CJT262156 BZX262156 BQB262156 BGF262156 AWJ262156 AMN262156 ACR262156 SV262156 IZ262156 WVL196620 WLP196620 WBT196620 VRX196620 VIB196620 UYF196620 UOJ196620 UEN196620 TUR196620 TKV196620 TAZ196620 SRD196620 SHH196620 RXL196620 RNP196620 RDT196620 QTX196620 QKB196620 QAF196620 PQJ196620 PGN196620 OWR196620 OMV196620 OCZ196620 NTD196620 NJH196620 MZL196620 MPP196620 MFT196620 LVX196620 LMB196620 LCF196620 KSJ196620 KIN196620 JYR196620 JOV196620 JEZ196620 IVD196620 ILH196620 IBL196620 HRP196620 HHT196620 GXX196620 GOB196620 GEF196620 FUJ196620 FKN196620 FAR196620 EQV196620 EGZ196620 DXD196620 DNH196620 DDL196620 CTP196620 CJT196620 BZX196620 BQB196620 BGF196620 AWJ196620 AMN196620 ACR196620 SV196620 IZ196620 WVL131084 WLP131084 WBT131084 VRX131084 VIB131084 UYF131084 UOJ131084 UEN131084 TUR131084 TKV131084 TAZ131084 SRD131084 SHH131084 RXL131084 RNP131084 RDT131084 QTX131084 QKB131084 QAF131084 PQJ131084 PGN131084 OWR131084 OMV131084 OCZ131084 NTD131084 NJH131084 MZL131084 MPP131084 MFT131084 LVX131084 LMB131084 LCF131084 KSJ131084 KIN131084 JYR131084 JOV131084 JEZ131084 IVD131084 ILH131084 IBL131084 HRP131084 HHT131084 GXX131084 GOB131084 GEF131084 FUJ131084 FKN131084 FAR131084 EQV131084 EGZ131084 DXD131084 DNH131084 DDL131084 CTP131084 CJT131084 BZX131084 BQB131084 BGF131084 AWJ131084 AMN131084 ACR131084 SV131084 IZ131084 WVL65548 WLP65548 WBT65548 VRX65548 VIB65548 UYF65548 UOJ65548 UEN65548 TUR65548 TKV65548 TAZ65548 SRD65548 SHH65548 RXL65548 RNP65548 RDT65548 QTX65548 QKB65548 QAF65548 PQJ65548 PGN65548 OWR65548 OMV65548 OCZ65548 NTD65548 NJH65548 MZL65548 MPP65548 MFT65548 LVX65548 LMB65548 LCF65548 KSJ65548 KIN65548 JYR65548 JOV65548 JEZ65548 IVD65548 ILH65548 IBL65548 HRP65548 HHT65548 GXX65548 GOB65548 GEF65548 FUJ65548 FKN65548 FAR65548 EQV65548 EGZ65548 DXD65548 DNH65548 DDL65548 CTP65548 CJT65548 BZX65548 BQB65548 BGF65548 AWJ65548 AMN65548 ACR65548 SV65548 IZ65548">
      <formula1>Lc_mx</formula1>
      <formula2>L</formula2>
    </dataValidation>
    <dataValidation type="decimal" allowBlank="1" showInputMessage="1" showErrorMessage="1" errorTitle="Invalid Input" error="Enter a typical inductance value between Lmin and Lmax." sqref="D65547 WLQ15 WBU15 VRY15 VIC15 UYG15 UOK15 UEO15 TUS15 TKW15 TBA15 SRE15 SHI15 RXM15 RNQ15 RDU15 QTY15 QKC15 QAG15 PQK15 PGO15 OWS15 OMW15 ODA15 NTE15 NJI15 MZM15 MPQ15 MFU15 LVY15 LMC15 LCG15 KSK15 KIO15 JYS15 JOW15 JFA15 IVE15 ILI15 IBM15 HRQ15 HHU15 GXY15 GOC15 GEG15 FUK15 FKO15 FAS15 EQW15 EHA15 DXE15 DNI15 DDM15 CTQ15 CJU15 BZY15 BQC15 BGG15 AWK15 AMO15 ACS15 SW15 JA15 WVM15 D131083 D196619 D262155 D327691 D393227 D458763 D524299 D589835 D655371 D720907 D786443 D851979 D917515 D983051 WVM983052 WLQ983052 WBU983052 VRY983052 VIC983052 UYG983052 UOK983052 UEO983052 TUS983052 TKW983052 TBA983052 SRE983052 SHI983052 RXM983052 RNQ983052 RDU983052 QTY983052 QKC983052 QAG983052 PQK983052 PGO983052 OWS983052 OMW983052 ODA983052 NTE983052 NJI983052 MZM983052 MPQ983052 MFU983052 LVY983052 LMC983052 LCG983052 KSK983052 KIO983052 JYS983052 JOW983052 JFA983052 IVE983052 ILI983052 IBM983052 HRQ983052 HHU983052 GXY983052 GOC983052 GEG983052 FUK983052 FKO983052 FAS983052 EQW983052 EHA983052 DXE983052 DNI983052 DDM983052 CTQ983052 CJU983052 BZY983052 BQC983052 BGG983052 AWK983052 AMO983052 ACS983052 SW983052 JA983052 WVM917516 WLQ917516 WBU917516 VRY917516 VIC917516 UYG917516 UOK917516 UEO917516 TUS917516 TKW917516 TBA917516 SRE917516 SHI917516 RXM917516 RNQ917516 RDU917516 QTY917516 QKC917516 QAG917516 PQK917516 PGO917516 OWS917516 OMW917516 ODA917516 NTE917516 NJI917516 MZM917516 MPQ917516 MFU917516 LVY917516 LMC917516 LCG917516 KSK917516 KIO917516 JYS917516 JOW917516 JFA917516 IVE917516 ILI917516 IBM917516 HRQ917516 HHU917516 GXY917516 GOC917516 GEG917516 FUK917516 FKO917516 FAS917516 EQW917516 EHA917516 DXE917516 DNI917516 DDM917516 CTQ917516 CJU917516 BZY917516 BQC917516 BGG917516 AWK917516 AMO917516 ACS917516 SW917516 JA917516 WVM851980 WLQ851980 WBU851980 VRY851980 VIC851980 UYG851980 UOK851980 UEO851980 TUS851980 TKW851980 TBA851980 SRE851980 SHI851980 RXM851980 RNQ851980 RDU851980 QTY851980 QKC851980 QAG851980 PQK851980 PGO851980 OWS851980 OMW851980 ODA851980 NTE851980 NJI851980 MZM851980 MPQ851980 MFU851980 LVY851980 LMC851980 LCG851980 KSK851980 KIO851980 JYS851980 JOW851980 JFA851980 IVE851980 ILI851980 IBM851980 HRQ851980 HHU851980 GXY851980 GOC851980 GEG851980 FUK851980 FKO851980 FAS851980 EQW851980 EHA851980 DXE851980 DNI851980 DDM851980 CTQ851980 CJU851980 BZY851980 BQC851980 BGG851980 AWK851980 AMO851980 ACS851980 SW851980 JA851980 WVM786444 WLQ786444 WBU786444 VRY786444 VIC786444 UYG786444 UOK786444 UEO786444 TUS786444 TKW786444 TBA786444 SRE786444 SHI786444 RXM786444 RNQ786444 RDU786444 QTY786444 QKC786444 QAG786444 PQK786444 PGO786444 OWS786444 OMW786444 ODA786444 NTE786444 NJI786444 MZM786444 MPQ786444 MFU786444 LVY786444 LMC786444 LCG786444 KSK786444 KIO786444 JYS786444 JOW786444 JFA786444 IVE786444 ILI786444 IBM786444 HRQ786444 HHU786444 GXY786444 GOC786444 GEG786444 FUK786444 FKO786444 FAS786444 EQW786444 EHA786444 DXE786444 DNI786444 DDM786444 CTQ786444 CJU786444 BZY786444 BQC786444 BGG786444 AWK786444 AMO786444 ACS786444 SW786444 JA786444 WVM720908 WLQ720908 WBU720908 VRY720908 VIC720908 UYG720908 UOK720908 UEO720908 TUS720908 TKW720908 TBA720908 SRE720908 SHI720908 RXM720908 RNQ720908 RDU720908 QTY720908 QKC720908 QAG720908 PQK720908 PGO720908 OWS720908 OMW720908 ODA720908 NTE720908 NJI720908 MZM720908 MPQ720908 MFU720908 LVY720908 LMC720908 LCG720908 KSK720908 KIO720908 JYS720908 JOW720908 JFA720908 IVE720908 ILI720908 IBM720908 HRQ720908 HHU720908 GXY720908 GOC720908 GEG720908 FUK720908 FKO720908 FAS720908 EQW720908 EHA720908 DXE720908 DNI720908 DDM720908 CTQ720908 CJU720908 BZY720908 BQC720908 BGG720908 AWK720908 AMO720908 ACS720908 SW720908 JA720908 WVM655372 WLQ655372 WBU655372 VRY655372 VIC655372 UYG655372 UOK655372 UEO655372 TUS655372 TKW655372 TBA655372 SRE655372 SHI655372 RXM655372 RNQ655372 RDU655372 QTY655372 QKC655372 QAG655372 PQK655372 PGO655372 OWS655372 OMW655372 ODA655372 NTE655372 NJI655372 MZM655372 MPQ655372 MFU655372 LVY655372 LMC655372 LCG655372 KSK655372 KIO655372 JYS655372 JOW655372 JFA655372 IVE655372 ILI655372 IBM655372 HRQ655372 HHU655372 GXY655372 GOC655372 GEG655372 FUK655372 FKO655372 FAS655372 EQW655372 EHA655372 DXE655372 DNI655372 DDM655372 CTQ655372 CJU655372 BZY655372 BQC655372 BGG655372 AWK655372 AMO655372 ACS655372 SW655372 JA655372 WVM589836 WLQ589836 WBU589836 VRY589836 VIC589836 UYG589836 UOK589836 UEO589836 TUS589836 TKW589836 TBA589836 SRE589836 SHI589836 RXM589836 RNQ589836 RDU589836 QTY589836 QKC589836 QAG589836 PQK589836 PGO589836 OWS589836 OMW589836 ODA589836 NTE589836 NJI589836 MZM589836 MPQ589836 MFU589836 LVY589836 LMC589836 LCG589836 KSK589836 KIO589836 JYS589836 JOW589836 JFA589836 IVE589836 ILI589836 IBM589836 HRQ589836 HHU589836 GXY589836 GOC589836 GEG589836 FUK589836 FKO589836 FAS589836 EQW589836 EHA589836 DXE589836 DNI589836 DDM589836 CTQ589836 CJU589836 BZY589836 BQC589836 BGG589836 AWK589836 AMO589836 ACS589836 SW589836 JA589836 WVM524300 WLQ524300 WBU524300 VRY524300 VIC524300 UYG524300 UOK524300 UEO524300 TUS524300 TKW524300 TBA524300 SRE524300 SHI524300 RXM524300 RNQ524300 RDU524300 QTY524300 QKC524300 QAG524300 PQK524300 PGO524300 OWS524300 OMW524300 ODA524300 NTE524300 NJI524300 MZM524300 MPQ524300 MFU524300 LVY524300 LMC524300 LCG524300 KSK524300 KIO524300 JYS524300 JOW524300 JFA524300 IVE524300 ILI524300 IBM524300 HRQ524300 HHU524300 GXY524300 GOC524300 GEG524300 FUK524300 FKO524300 FAS524300 EQW524300 EHA524300 DXE524300 DNI524300 DDM524300 CTQ524300 CJU524300 BZY524300 BQC524300 BGG524300 AWK524300 AMO524300 ACS524300 SW524300 JA524300 WVM458764 WLQ458764 WBU458764 VRY458764 VIC458764 UYG458764 UOK458764 UEO458764 TUS458764 TKW458764 TBA458764 SRE458764 SHI458764 RXM458764 RNQ458764 RDU458764 QTY458764 QKC458764 QAG458764 PQK458764 PGO458764 OWS458764 OMW458764 ODA458764 NTE458764 NJI458764 MZM458764 MPQ458764 MFU458764 LVY458764 LMC458764 LCG458764 KSK458764 KIO458764 JYS458764 JOW458764 JFA458764 IVE458764 ILI458764 IBM458764 HRQ458764 HHU458764 GXY458764 GOC458764 GEG458764 FUK458764 FKO458764 FAS458764 EQW458764 EHA458764 DXE458764 DNI458764 DDM458764 CTQ458764 CJU458764 BZY458764 BQC458764 BGG458764 AWK458764 AMO458764 ACS458764 SW458764 JA458764 WVM393228 WLQ393228 WBU393228 VRY393228 VIC393228 UYG393228 UOK393228 UEO393228 TUS393228 TKW393228 TBA393228 SRE393228 SHI393228 RXM393228 RNQ393228 RDU393228 QTY393228 QKC393228 QAG393228 PQK393228 PGO393228 OWS393228 OMW393228 ODA393228 NTE393228 NJI393228 MZM393228 MPQ393228 MFU393228 LVY393228 LMC393228 LCG393228 KSK393228 KIO393228 JYS393228 JOW393228 JFA393228 IVE393228 ILI393228 IBM393228 HRQ393228 HHU393228 GXY393228 GOC393228 GEG393228 FUK393228 FKO393228 FAS393228 EQW393228 EHA393228 DXE393228 DNI393228 DDM393228 CTQ393228 CJU393228 BZY393228 BQC393228 BGG393228 AWK393228 AMO393228 ACS393228 SW393228 JA393228 WVM327692 WLQ327692 WBU327692 VRY327692 VIC327692 UYG327692 UOK327692 UEO327692 TUS327692 TKW327692 TBA327692 SRE327692 SHI327692 RXM327692 RNQ327692 RDU327692 QTY327692 QKC327692 QAG327692 PQK327692 PGO327692 OWS327692 OMW327692 ODA327692 NTE327692 NJI327692 MZM327692 MPQ327692 MFU327692 LVY327692 LMC327692 LCG327692 KSK327692 KIO327692 JYS327692 JOW327692 JFA327692 IVE327692 ILI327692 IBM327692 HRQ327692 HHU327692 GXY327692 GOC327692 GEG327692 FUK327692 FKO327692 FAS327692 EQW327692 EHA327692 DXE327692 DNI327692 DDM327692 CTQ327692 CJU327692 BZY327692 BQC327692 BGG327692 AWK327692 AMO327692 ACS327692 SW327692 JA327692 WVM262156 WLQ262156 WBU262156 VRY262156 VIC262156 UYG262156 UOK262156 UEO262156 TUS262156 TKW262156 TBA262156 SRE262156 SHI262156 RXM262156 RNQ262156 RDU262156 QTY262156 QKC262156 QAG262156 PQK262156 PGO262156 OWS262156 OMW262156 ODA262156 NTE262156 NJI262156 MZM262156 MPQ262156 MFU262156 LVY262156 LMC262156 LCG262156 KSK262156 KIO262156 JYS262156 JOW262156 JFA262156 IVE262156 ILI262156 IBM262156 HRQ262156 HHU262156 GXY262156 GOC262156 GEG262156 FUK262156 FKO262156 FAS262156 EQW262156 EHA262156 DXE262156 DNI262156 DDM262156 CTQ262156 CJU262156 BZY262156 BQC262156 BGG262156 AWK262156 AMO262156 ACS262156 SW262156 JA262156 WVM196620 WLQ196620 WBU196620 VRY196620 VIC196620 UYG196620 UOK196620 UEO196620 TUS196620 TKW196620 TBA196620 SRE196620 SHI196620 RXM196620 RNQ196620 RDU196620 QTY196620 QKC196620 QAG196620 PQK196620 PGO196620 OWS196620 OMW196620 ODA196620 NTE196620 NJI196620 MZM196620 MPQ196620 MFU196620 LVY196620 LMC196620 LCG196620 KSK196620 KIO196620 JYS196620 JOW196620 JFA196620 IVE196620 ILI196620 IBM196620 HRQ196620 HHU196620 GXY196620 GOC196620 GEG196620 FUK196620 FKO196620 FAS196620 EQW196620 EHA196620 DXE196620 DNI196620 DDM196620 CTQ196620 CJU196620 BZY196620 BQC196620 BGG196620 AWK196620 AMO196620 ACS196620 SW196620 JA196620 WVM131084 WLQ131084 WBU131084 VRY131084 VIC131084 UYG131084 UOK131084 UEO131084 TUS131084 TKW131084 TBA131084 SRE131084 SHI131084 RXM131084 RNQ131084 RDU131084 QTY131084 QKC131084 QAG131084 PQK131084 PGO131084 OWS131084 OMW131084 ODA131084 NTE131084 NJI131084 MZM131084 MPQ131084 MFU131084 LVY131084 LMC131084 LCG131084 KSK131084 KIO131084 JYS131084 JOW131084 JFA131084 IVE131084 ILI131084 IBM131084 HRQ131084 HHU131084 GXY131084 GOC131084 GEG131084 FUK131084 FKO131084 FAS131084 EQW131084 EHA131084 DXE131084 DNI131084 DDM131084 CTQ131084 CJU131084 BZY131084 BQC131084 BGG131084 AWK131084 AMO131084 ACS131084 SW131084 JA131084 WVM65548 WLQ65548 WBU65548 VRY65548 VIC65548 UYG65548 UOK65548 UEO65548 TUS65548 TKW65548 TBA65548 SRE65548 SHI65548 RXM65548 RNQ65548 RDU65548 QTY65548 QKC65548 QAG65548 PQK65548 PGO65548 OWS65548 OMW65548 ODA65548 NTE65548 NJI65548 MZM65548 MPQ65548 MFU65548 LVY65548 LMC65548 LCG65548 KSK65548 KIO65548 JYS65548 JOW65548 JFA65548 IVE65548 ILI65548 IBM65548 HRQ65548 HHU65548 GXY65548 GOC65548 GEG65548 FUK65548 FKO65548 FAS65548 EQW65548 EHA65548 DXE65548 DNI65548 DDM65548 CTQ65548 CJU65548 BZY65548 BQC65548 BGG65548 AWK65548 AMO65548 ACS65548 SW65548 JA65548">
      <formula1>Lmn</formula1>
      <formula2>Lmx</formula2>
    </dataValidation>
    <dataValidation type="decimal" allowBlank="1" showInputMessage="1" showErrorMessage="1" errorTitle="Invalid Input" error="Enter a value between Vd_typ and 2." sqref="E65542 WVN10 WLR10 WBV10 VRZ10 VID10 UYH10 UOL10 UEP10 TUT10 TKX10 TBB10 SRF10 SHJ10 RXN10 RNR10 RDV10 QTZ10 QKD10 QAH10 PQL10 PGP10 OWT10 OMX10 ODB10 NTF10 NJJ10 MZN10 MPR10 MFV10 LVZ10 LMD10 LCH10 KSL10 KIP10 JYT10 JOX10 JFB10 IVF10 ILJ10 IBN10 HRR10 HHV10 GXZ10 GOD10 GEH10 FUL10 FKP10 FAT10 EQX10 EHB10 DXF10 DNJ10 DDN10 CTR10 CJV10 BZZ10 BQD10 BGH10 AWL10 AMP10 ACT10 SX10 JB10 E10 E131078 E196614 E262150 E327686 E393222 E458758 E524294 E589830 E655366 E720902 E786438 E851974 E917510 E983046 WVN983047 WLR983047 WBV983047 VRZ983047 VID983047 UYH983047 UOL983047 UEP983047 TUT983047 TKX983047 TBB983047 SRF983047 SHJ983047 RXN983047 RNR983047 RDV983047 QTZ983047 QKD983047 QAH983047 PQL983047 PGP983047 OWT983047 OMX983047 ODB983047 NTF983047 NJJ983047 MZN983047 MPR983047 MFV983047 LVZ983047 LMD983047 LCH983047 KSL983047 KIP983047 JYT983047 JOX983047 JFB983047 IVF983047 ILJ983047 IBN983047 HRR983047 HHV983047 GXZ983047 GOD983047 GEH983047 FUL983047 FKP983047 FAT983047 EQX983047 EHB983047 DXF983047 DNJ983047 DDN983047 CTR983047 CJV983047 BZZ983047 BQD983047 BGH983047 AWL983047 AMP983047 ACT983047 SX983047 JB983047 WVN917511 WLR917511 WBV917511 VRZ917511 VID917511 UYH917511 UOL917511 UEP917511 TUT917511 TKX917511 TBB917511 SRF917511 SHJ917511 RXN917511 RNR917511 RDV917511 QTZ917511 QKD917511 QAH917511 PQL917511 PGP917511 OWT917511 OMX917511 ODB917511 NTF917511 NJJ917511 MZN917511 MPR917511 MFV917511 LVZ917511 LMD917511 LCH917511 KSL917511 KIP917511 JYT917511 JOX917511 JFB917511 IVF917511 ILJ917511 IBN917511 HRR917511 HHV917511 GXZ917511 GOD917511 GEH917511 FUL917511 FKP917511 FAT917511 EQX917511 EHB917511 DXF917511 DNJ917511 DDN917511 CTR917511 CJV917511 BZZ917511 BQD917511 BGH917511 AWL917511 AMP917511 ACT917511 SX917511 JB917511 WVN851975 WLR851975 WBV851975 VRZ851975 VID851975 UYH851975 UOL851975 UEP851975 TUT851975 TKX851975 TBB851975 SRF851975 SHJ851975 RXN851975 RNR851975 RDV851975 QTZ851975 QKD851975 QAH851975 PQL851975 PGP851975 OWT851975 OMX851975 ODB851975 NTF851975 NJJ851975 MZN851975 MPR851975 MFV851975 LVZ851975 LMD851975 LCH851975 KSL851975 KIP851975 JYT851975 JOX851975 JFB851975 IVF851975 ILJ851975 IBN851975 HRR851975 HHV851975 GXZ851975 GOD851975 GEH851975 FUL851975 FKP851975 FAT851975 EQX851975 EHB851975 DXF851975 DNJ851975 DDN851975 CTR851975 CJV851975 BZZ851975 BQD851975 BGH851975 AWL851975 AMP851975 ACT851975 SX851975 JB851975 WVN786439 WLR786439 WBV786439 VRZ786439 VID786439 UYH786439 UOL786439 UEP786439 TUT786439 TKX786439 TBB786439 SRF786439 SHJ786439 RXN786439 RNR786439 RDV786439 QTZ786439 QKD786439 QAH786439 PQL786439 PGP786439 OWT786439 OMX786439 ODB786439 NTF786439 NJJ786439 MZN786439 MPR786439 MFV786439 LVZ786439 LMD786439 LCH786439 KSL786439 KIP786439 JYT786439 JOX786439 JFB786439 IVF786439 ILJ786439 IBN786439 HRR786439 HHV786439 GXZ786439 GOD786439 GEH786439 FUL786439 FKP786439 FAT786439 EQX786439 EHB786439 DXF786439 DNJ786439 DDN786439 CTR786439 CJV786439 BZZ786439 BQD786439 BGH786439 AWL786439 AMP786439 ACT786439 SX786439 JB786439 WVN720903 WLR720903 WBV720903 VRZ720903 VID720903 UYH720903 UOL720903 UEP720903 TUT720903 TKX720903 TBB720903 SRF720903 SHJ720903 RXN720903 RNR720903 RDV720903 QTZ720903 QKD720903 QAH720903 PQL720903 PGP720903 OWT720903 OMX720903 ODB720903 NTF720903 NJJ720903 MZN720903 MPR720903 MFV720903 LVZ720903 LMD720903 LCH720903 KSL720903 KIP720903 JYT720903 JOX720903 JFB720903 IVF720903 ILJ720903 IBN720903 HRR720903 HHV720903 GXZ720903 GOD720903 GEH720903 FUL720903 FKP720903 FAT720903 EQX720903 EHB720903 DXF720903 DNJ720903 DDN720903 CTR720903 CJV720903 BZZ720903 BQD720903 BGH720903 AWL720903 AMP720903 ACT720903 SX720903 JB720903 WVN655367 WLR655367 WBV655367 VRZ655367 VID655367 UYH655367 UOL655367 UEP655367 TUT655367 TKX655367 TBB655367 SRF655367 SHJ655367 RXN655367 RNR655367 RDV655367 QTZ655367 QKD655367 QAH655367 PQL655367 PGP655367 OWT655367 OMX655367 ODB655367 NTF655367 NJJ655367 MZN655367 MPR655367 MFV655367 LVZ655367 LMD655367 LCH655367 KSL655367 KIP655367 JYT655367 JOX655367 JFB655367 IVF655367 ILJ655367 IBN655367 HRR655367 HHV655367 GXZ655367 GOD655367 GEH655367 FUL655367 FKP655367 FAT655367 EQX655367 EHB655367 DXF655367 DNJ655367 DDN655367 CTR655367 CJV655367 BZZ655367 BQD655367 BGH655367 AWL655367 AMP655367 ACT655367 SX655367 JB655367 WVN589831 WLR589831 WBV589831 VRZ589831 VID589831 UYH589831 UOL589831 UEP589831 TUT589831 TKX589831 TBB589831 SRF589831 SHJ589831 RXN589831 RNR589831 RDV589831 QTZ589831 QKD589831 QAH589831 PQL589831 PGP589831 OWT589831 OMX589831 ODB589831 NTF589831 NJJ589831 MZN589831 MPR589831 MFV589831 LVZ589831 LMD589831 LCH589831 KSL589831 KIP589831 JYT589831 JOX589831 JFB589831 IVF589831 ILJ589831 IBN589831 HRR589831 HHV589831 GXZ589831 GOD589831 GEH589831 FUL589831 FKP589831 FAT589831 EQX589831 EHB589831 DXF589831 DNJ589831 DDN589831 CTR589831 CJV589831 BZZ589831 BQD589831 BGH589831 AWL589831 AMP589831 ACT589831 SX589831 JB589831 WVN524295 WLR524295 WBV524295 VRZ524295 VID524295 UYH524295 UOL524295 UEP524295 TUT524295 TKX524295 TBB524295 SRF524295 SHJ524295 RXN524295 RNR524295 RDV524295 QTZ524295 QKD524295 QAH524295 PQL524295 PGP524295 OWT524295 OMX524295 ODB524295 NTF524295 NJJ524295 MZN524295 MPR524295 MFV524295 LVZ524295 LMD524295 LCH524295 KSL524295 KIP524295 JYT524295 JOX524295 JFB524295 IVF524295 ILJ524295 IBN524295 HRR524295 HHV524295 GXZ524295 GOD524295 GEH524295 FUL524295 FKP524295 FAT524295 EQX524295 EHB524295 DXF524295 DNJ524295 DDN524295 CTR524295 CJV524295 BZZ524295 BQD524295 BGH524295 AWL524295 AMP524295 ACT524295 SX524295 JB524295 WVN458759 WLR458759 WBV458759 VRZ458759 VID458759 UYH458759 UOL458759 UEP458759 TUT458759 TKX458759 TBB458759 SRF458759 SHJ458759 RXN458759 RNR458759 RDV458759 QTZ458759 QKD458759 QAH458759 PQL458759 PGP458759 OWT458759 OMX458759 ODB458759 NTF458759 NJJ458759 MZN458759 MPR458759 MFV458759 LVZ458759 LMD458759 LCH458759 KSL458759 KIP458759 JYT458759 JOX458759 JFB458759 IVF458759 ILJ458759 IBN458759 HRR458759 HHV458759 GXZ458759 GOD458759 GEH458759 FUL458759 FKP458759 FAT458759 EQX458759 EHB458759 DXF458759 DNJ458759 DDN458759 CTR458759 CJV458759 BZZ458759 BQD458759 BGH458759 AWL458759 AMP458759 ACT458759 SX458759 JB458759 WVN393223 WLR393223 WBV393223 VRZ393223 VID393223 UYH393223 UOL393223 UEP393223 TUT393223 TKX393223 TBB393223 SRF393223 SHJ393223 RXN393223 RNR393223 RDV393223 QTZ393223 QKD393223 QAH393223 PQL393223 PGP393223 OWT393223 OMX393223 ODB393223 NTF393223 NJJ393223 MZN393223 MPR393223 MFV393223 LVZ393223 LMD393223 LCH393223 KSL393223 KIP393223 JYT393223 JOX393223 JFB393223 IVF393223 ILJ393223 IBN393223 HRR393223 HHV393223 GXZ393223 GOD393223 GEH393223 FUL393223 FKP393223 FAT393223 EQX393223 EHB393223 DXF393223 DNJ393223 DDN393223 CTR393223 CJV393223 BZZ393223 BQD393223 BGH393223 AWL393223 AMP393223 ACT393223 SX393223 JB393223 WVN327687 WLR327687 WBV327687 VRZ327687 VID327687 UYH327687 UOL327687 UEP327687 TUT327687 TKX327687 TBB327687 SRF327687 SHJ327687 RXN327687 RNR327687 RDV327687 QTZ327687 QKD327687 QAH327687 PQL327687 PGP327687 OWT327687 OMX327687 ODB327687 NTF327687 NJJ327687 MZN327687 MPR327687 MFV327687 LVZ327687 LMD327687 LCH327687 KSL327687 KIP327687 JYT327687 JOX327687 JFB327687 IVF327687 ILJ327687 IBN327687 HRR327687 HHV327687 GXZ327687 GOD327687 GEH327687 FUL327687 FKP327687 FAT327687 EQX327687 EHB327687 DXF327687 DNJ327687 DDN327687 CTR327687 CJV327687 BZZ327687 BQD327687 BGH327687 AWL327687 AMP327687 ACT327687 SX327687 JB327687 WVN262151 WLR262151 WBV262151 VRZ262151 VID262151 UYH262151 UOL262151 UEP262151 TUT262151 TKX262151 TBB262151 SRF262151 SHJ262151 RXN262151 RNR262151 RDV262151 QTZ262151 QKD262151 QAH262151 PQL262151 PGP262151 OWT262151 OMX262151 ODB262151 NTF262151 NJJ262151 MZN262151 MPR262151 MFV262151 LVZ262151 LMD262151 LCH262151 KSL262151 KIP262151 JYT262151 JOX262151 JFB262151 IVF262151 ILJ262151 IBN262151 HRR262151 HHV262151 GXZ262151 GOD262151 GEH262151 FUL262151 FKP262151 FAT262151 EQX262151 EHB262151 DXF262151 DNJ262151 DDN262151 CTR262151 CJV262151 BZZ262151 BQD262151 BGH262151 AWL262151 AMP262151 ACT262151 SX262151 JB262151 WVN196615 WLR196615 WBV196615 VRZ196615 VID196615 UYH196615 UOL196615 UEP196615 TUT196615 TKX196615 TBB196615 SRF196615 SHJ196615 RXN196615 RNR196615 RDV196615 QTZ196615 QKD196615 QAH196615 PQL196615 PGP196615 OWT196615 OMX196615 ODB196615 NTF196615 NJJ196615 MZN196615 MPR196615 MFV196615 LVZ196615 LMD196615 LCH196615 KSL196615 KIP196615 JYT196615 JOX196615 JFB196615 IVF196615 ILJ196615 IBN196615 HRR196615 HHV196615 GXZ196615 GOD196615 GEH196615 FUL196615 FKP196615 FAT196615 EQX196615 EHB196615 DXF196615 DNJ196615 DDN196615 CTR196615 CJV196615 BZZ196615 BQD196615 BGH196615 AWL196615 AMP196615 ACT196615 SX196615 JB196615 WVN131079 WLR131079 WBV131079 VRZ131079 VID131079 UYH131079 UOL131079 UEP131079 TUT131079 TKX131079 TBB131079 SRF131079 SHJ131079 RXN131079 RNR131079 RDV131079 QTZ131079 QKD131079 QAH131079 PQL131079 PGP131079 OWT131079 OMX131079 ODB131079 NTF131079 NJJ131079 MZN131079 MPR131079 MFV131079 LVZ131079 LMD131079 LCH131079 KSL131079 KIP131079 JYT131079 JOX131079 JFB131079 IVF131079 ILJ131079 IBN131079 HRR131079 HHV131079 GXZ131079 GOD131079 GEH131079 FUL131079 FKP131079 FAT131079 EQX131079 EHB131079 DXF131079 DNJ131079 DDN131079 CTR131079 CJV131079 BZZ131079 BQD131079 BGH131079 AWL131079 AMP131079 ACT131079 SX131079 JB131079 WVN65543 WLR65543 WBV65543 VRZ65543 VID65543 UYH65543 UOL65543 UEP65543 TUT65543 TKX65543 TBB65543 SRF65543 SHJ65543 RXN65543 RNR65543 RDV65543 QTZ65543 QKD65543 QAH65543 PQL65543 PGP65543 OWT65543 OMX65543 ODB65543 NTF65543 NJJ65543 MZN65543 MPR65543 MFV65543 LVZ65543 LMD65543 LCH65543 KSL65543 KIP65543 JYT65543 JOX65543 JFB65543 IVF65543 ILJ65543 IBN65543 HRR65543 HHV65543 GXZ65543 GOD65543 GEH65543 FUL65543 FKP65543 FAT65543 EQX65543 EHB65543 DXF65543 DNJ65543 DDN65543 CTR65543 CJV65543 BZZ65543 BQD65543 BGH65543 AWL65543 AMP65543 ACT65543 SX65543 JB65543">
      <formula1>Vd</formula1>
      <formula2>2</formula2>
    </dataValidation>
    <dataValidation type="decimal" showInputMessage="1" showErrorMessage="1" errorTitle="Invalid Input" error="Enter a value greater than Vin_max and less than 8*Vin_mn." sqref="D65540 WLQ8 WBU8 VRY8 VIC8 UYG8 UOK8 UEO8 TUS8 TKW8 TBA8 SRE8 SHI8 RXM8 RNQ8 RDU8 QTY8 QKC8 QAG8 PQK8 PGO8 OWS8 OMW8 ODA8 NTE8 NJI8 MZM8 MPQ8 MFU8 LVY8 LMC8 LCG8 KSK8 KIO8 JYS8 JOW8 JFA8 IVE8 ILI8 IBM8 HRQ8 HHU8 GXY8 GOC8 GEG8 FUK8 FKO8 FAS8 EQW8 EHA8 DXE8 DNI8 DDM8 CTQ8 CJU8 BZY8 BQC8 BGG8 AWK8 AMO8 ACS8 SW8 JA8 WVM8 D131076 D196612 D262148 D327684 D393220 D458756 D524292 D589828 D655364 D720900 D786436 D851972 D917508 D983044 WVM983045 WLQ983045 WBU983045 VRY983045 VIC983045 UYG983045 UOK983045 UEO983045 TUS983045 TKW983045 TBA983045 SRE983045 SHI983045 RXM983045 RNQ983045 RDU983045 QTY983045 QKC983045 QAG983045 PQK983045 PGO983045 OWS983045 OMW983045 ODA983045 NTE983045 NJI983045 MZM983045 MPQ983045 MFU983045 LVY983045 LMC983045 LCG983045 KSK983045 KIO983045 JYS983045 JOW983045 JFA983045 IVE983045 ILI983045 IBM983045 HRQ983045 HHU983045 GXY983045 GOC983045 GEG983045 FUK983045 FKO983045 FAS983045 EQW983045 EHA983045 DXE983045 DNI983045 DDM983045 CTQ983045 CJU983045 BZY983045 BQC983045 BGG983045 AWK983045 AMO983045 ACS983045 SW983045 JA983045 WVM917509 WLQ917509 WBU917509 VRY917509 VIC917509 UYG917509 UOK917509 UEO917509 TUS917509 TKW917509 TBA917509 SRE917509 SHI917509 RXM917509 RNQ917509 RDU917509 QTY917509 QKC917509 QAG917509 PQK917509 PGO917509 OWS917509 OMW917509 ODA917509 NTE917509 NJI917509 MZM917509 MPQ917509 MFU917509 LVY917509 LMC917509 LCG917509 KSK917509 KIO917509 JYS917509 JOW917509 JFA917509 IVE917509 ILI917509 IBM917509 HRQ917509 HHU917509 GXY917509 GOC917509 GEG917509 FUK917509 FKO917509 FAS917509 EQW917509 EHA917509 DXE917509 DNI917509 DDM917509 CTQ917509 CJU917509 BZY917509 BQC917509 BGG917509 AWK917509 AMO917509 ACS917509 SW917509 JA917509 WVM851973 WLQ851973 WBU851973 VRY851973 VIC851973 UYG851973 UOK851973 UEO851973 TUS851973 TKW851973 TBA851973 SRE851973 SHI851973 RXM851973 RNQ851973 RDU851973 QTY851973 QKC851973 QAG851973 PQK851973 PGO851973 OWS851973 OMW851973 ODA851973 NTE851973 NJI851973 MZM851973 MPQ851973 MFU851973 LVY851973 LMC851973 LCG851973 KSK851973 KIO851973 JYS851973 JOW851973 JFA851973 IVE851973 ILI851973 IBM851973 HRQ851973 HHU851973 GXY851973 GOC851973 GEG851973 FUK851973 FKO851973 FAS851973 EQW851973 EHA851973 DXE851973 DNI851973 DDM851973 CTQ851973 CJU851973 BZY851973 BQC851973 BGG851973 AWK851973 AMO851973 ACS851973 SW851973 JA851973 WVM786437 WLQ786437 WBU786437 VRY786437 VIC786437 UYG786437 UOK786437 UEO786437 TUS786437 TKW786437 TBA786437 SRE786437 SHI786437 RXM786437 RNQ786437 RDU786437 QTY786437 QKC786437 QAG786437 PQK786437 PGO786437 OWS786437 OMW786437 ODA786437 NTE786437 NJI786437 MZM786437 MPQ786437 MFU786437 LVY786437 LMC786437 LCG786437 KSK786437 KIO786437 JYS786437 JOW786437 JFA786437 IVE786437 ILI786437 IBM786437 HRQ786437 HHU786437 GXY786437 GOC786437 GEG786437 FUK786437 FKO786437 FAS786437 EQW786437 EHA786437 DXE786437 DNI786437 DDM786437 CTQ786437 CJU786437 BZY786437 BQC786437 BGG786437 AWK786437 AMO786437 ACS786437 SW786437 JA786437 WVM720901 WLQ720901 WBU720901 VRY720901 VIC720901 UYG720901 UOK720901 UEO720901 TUS720901 TKW720901 TBA720901 SRE720901 SHI720901 RXM720901 RNQ720901 RDU720901 QTY720901 QKC720901 QAG720901 PQK720901 PGO720901 OWS720901 OMW720901 ODA720901 NTE720901 NJI720901 MZM720901 MPQ720901 MFU720901 LVY720901 LMC720901 LCG720901 KSK720901 KIO720901 JYS720901 JOW720901 JFA720901 IVE720901 ILI720901 IBM720901 HRQ720901 HHU720901 GXY720901 GOC720901 GEG720901 FUK720901 FKO720901 FAS720901 EQW720901 EHA720901 DXE720901 DNI720901 DDM720901 CTQ720901 CJU720901 BZY720901 BQC720901 BGG720901 AWK720901 AMO720901 ACS720901 SW720901 JA720901 WVM655365 WLQ655365 WBU655365 VRY655365 VIC655365 UYG655365 UOK655365 UEO655365 TUS655365 TKW655365 TBA655365 SRE655365 SHI655365 RXM655365 RNQ655365 RDU655365 QTY655365 QKC655365 QAG655365 PQK655365 PGO655365 OWS655365 OMW655365 ODA655365 NTE655365 NJI655365 MZM655365 MPQ655365 MFU655365 LVY655365 LMC655365 LCG655365 KSK655365 KIO655365 JYS655365 JOW655365 JFA655365 IVE655365 ILI655365 IBM655365 HRQ655365 HHU655365 GXY655365 GOC655365 GEG655365 FUK655365 FKO655365 FAS655365 EQW655365 EHA655365 DXE655365 DNI655365 DDM655365 CTQ655365 CJU655365 BZY655365 BQC655365 BGG655365 AWK655365 AMO655365 ACS655365 SW655365 JA655365 WVM589829 WLQ589829 WBU589829 VRY589829 VIC589829 UYG589829 UOK589829 UEO589829 TUS589829 TKW589829 TBA589829 SRE589829 SHI589829 RXM589829 RNQ589829 RDU589829 QTY589829 QKC589829 QAG589829 PQK589829 PGO589829 OWS589829 OMW589829 ODA589829 NTE589829 NJI589829 MZM589829 MPQ589829 MFU589829 LVY589829 LMC589829 LCG589829 KSK589829 KIO589829 JYS589829 JOW589829 JFA589829 IVE589829 ILI589829 IBM589829 HRQ589829 HHU589829 GXY589829 GOC589829 GEG589829 FUK589829 FKO589829 FAS589829 EQW589829 EHA589829 DXE589829 DNI589829 DDM589829 CTQ589829 CJU589829 BZY589829 BQC589829 BGG589829 AWK589829 AMO589829 ACS589829 SW589829 JA589829 WVM524293 WLQ524293 WBU524293 VRY524293 VIC524293 UYG524293 UOK524293 UEO524293 TUS524293 TKW524293 TBA524293 SRE524293 SHI524293 RXM524293 RNQ524293 RDU524293 QTY524293 QKC524293 QAG524293 PQK524293 PGO524293 OWS524293 OMW524293 ODA524293 NTE524293 NJI524293 MZM524293 MPQ524293 MFU524293 LVY524293 LMC524293 LCG524293 KSK524293 KIO524293 JYS524293 JOW524293 JFA524293 IVE524293 ILI524293 IBM524293 HRQ524293 HHU524293 GXY524293 GOC524293 GEG524293 FUK524293 FKO524293 FAS524293 EQW524293 EHA524293 DXE524293 DNI524293 DDM524293 CTQ524293 CJU524293 BZY524293 BQC524293 BGG524293 AWK524293 AMO524293 ACS524293 SW524293 JA524293 WVM458757 WLQ458757 WBU458757 VRY458757 VIC458757 UYG458757 UOK458757 UEO458757 TUS458757 TKW458757 TBA458757 SRE458757 SHI458757 RXM458757 RNQ458757 RDU458757 QTY458757 QKC458757 QAG458757 PQK458757 PGO458757 OWS458757 OMW458757 ODA458757 NTE458757 NJI458757 MZM458757 MPQ458757 MFU458757 LVY458757 LMC458757 LCG458757 KSK458757 KIO458757 JYS458757 JOW458757 JFA458757 IVE458757 ILI458757 IBM458757 HRQ458757 HHU458757 GXY458757 GOC458757 GEG458757 FUK458757 FKO458757 FAS458757 EQW458757 EHA458757 DXE458757 DNI458757 DDM458757 CTQ458757 CJU458757 BZY458757 BQC458757 BGG458757 AWK458757 AMO458757 ACS458757 SW458757 JA458757 WVM393221 WLQ393221 WBU393221 VRY393221 VIC393221 UYG393221 UOK393221 UEO393221 TUS393221 TKW393221 TBA393221 SRE393221 SHI393221 RXM393221 RNQ393221 RDU393221 QTY393221 QKC393221 QAG393221 PQK393221 PGO393221 OWS393221 OMW393221 ODA393221 NTE393221 NJI393221 MZM393221 MPQ393221 MFU393221 LVY393221 LMC393221 LCG393221 KSK393221 KIO393221 JYS393221 JOW393221 JFA393221 IVE393221 ILI393221 IBM393221 HRQ393221 HHU393221 GXY393221 GOC393221 GEG393221 FUK393221 FKO393221 FAS393221 EQW393221 EHA393221 DXE393221 DNI393221 DDM393221 CTQ393221 CJU393221 BZY393221 BQC393221 BGG393221 AWK393221 AMO393221 ACS393221 SW393221 JA393221 WVM327685 WLQ327685 WBU327685 VRY327685 VIC327685 UYG327685 UOK327685 UEO327685 TUS327685 TKW327685 TBA327685 SRE327685 SHI327685 RXM327685 RNQ327685 RDU327685 QTY327685 QKC327685 QAG327685 PQK327685 PGO327685 OWS327685 OMW327685 ODA327685 NTE327685 NJI327685 MZM327685 MPQ327685 MFU327685 LVY327685 LMC327685 LCG327685 KSK327685 KIO327685 JYS327685 JOW327685 JFA327685 IVE327685 ILI327685 IBM327685 HRQ327685 HHU327685 GXY327685 GOC327685 GEG327685 FUK327685 FKO327685 FAS327685 EQW327685 EHA327685 DXE327685 DNI327685 DDM327685 CTQ327685 CJU327685 BZY327685 BQC327685 BGG327685 AWK327685 AMO327685 ACS327685 SW327685 JA327685 WVM262149 WLQ262149 WBU262149 VRY262149 VIC262149 UYG262149 UOK262149 UEO262149 TUS262149 TKW262149 TBA262149 SRE262149 SHI262149 RXM262149 RNQ262149 RDU262149 QTY262149 QKC262149 QAG262149 PQK262149 PGO262149 OWS262149 OMW262149 ODA262149 NTE262149 NJI262149 MZM262149 MPQ262149 MFU262149 LVY262149 LMC262149 LCG262149 KSK262149 KIO262149 JYS262149 JOW262149 JFA262149 IVE262149 ILI262149 IBM262149 HRQ262149 HHU262149 GXY262149 GOC262149 GEG262149 FUK262149 FKO262149 FAS262149 EQW262149 EHA262149 DXE262149 DNI262149 DDM262149 CTQ262149 CJU262149 BZY262149 BQC262149 BGG262149 AWK262149 AMO262149 ACS262149 SW262149 JA262149 WVM196613 WLQ196613 WBU196613 VRY196613 VIC196613 UYG196613 UOK196613 UEO196613 TUS196613 TKW196613 TBA196613 SRE196613 SHI196613 RXM196613 RNQ196613 RDU196613 QTY196613 QKC196613 QAG196613 PQK196613 PGO196613 OWS196613 OMW196613 ODA196613 NTE196613 NJI196613 MZM196613 MPQ196613 MFU196613 LVY196613 LMC196613 LCG196613 KSK196613 KIO196613 JYS196613 JOW196613 JFA196613 IVE196613 ILI196613 IBM196613 HRQ196613 HHU196613 GXY196613 GOC196613 GEG196613 FUK196613 FKO196613 FAS196613 EQW196613 EHA196613 DXE196613 DNI196613 DDM196613 CTQ196613 CJU196613 BZY196613 BQC196613 BGG196613 AWK196613 AMO196613 ACS196613 SW196613 JA196613 WVM131077 WLQ131077 WBU131077 VRY131077 VIC131077 UYG131077 UOK131077 UEO131077 TUS131077 TKW131077 TBA131077 SRE131077 SHI131077 RXM131077 RNQ131077 RDU131077 QTY131077 QKC131077 QAG131077 PQK131077 PGO131077 OWS131077 OMW131077 ODA131077 NTE131077 NJI131077 MZM131077 MPQ131077 MFU131077 LVY131077 LMC131077 LCG131077 KSK131077 KIO131077 JYS131077 JOW131077 JFA131077 IVE131077 ILI131077 IBM131077 HRQ131077 HHU131077 GXY131077 GOC131077 GEG131077 FUK131077 FKO131077 FAS131077 EQW131077 EHA131077 DXE131077 DNI131077 DDM131077 CTQ131077 CJU131077 BZY131077 BQC131077 BGG131077 AWK131077 AMO131077 ACS131077 SW131077 JA131077 WVM65541 WLQ65541 WBU65541 VRY65541 VIC65541 UYG65541 UOK65541 UEO65541 TUS65541 TKW65541 TBA65541 SRE65541 SHI65541 RXM65541 RNQ65541 RDU65541 QTY65541 QKC65541 QAG65541 PQK65541 PGO65541 OWS65541 OMW65541 ODA65541 NTE65541 NJI65541 MZM65541 MPQ65541 MFU65541 LVY65541 LMC65541 LCG65541 KSK65541 KIO65541 JYS65541 JOW65541 JFA65541 IVE65541 ILI65541 IBM65541 HRQ65541 HHU65541 GXY65541 GOC65541 GEG65541 FUK65541 FKO65541 FAS65541 EQW65541 EHA65541 DXE65541 DNI65541 DDM65541 CTQ65541 CJU65541 BZY65541 BQC65541 BGG65541 AWK65541 AMO65541 ACS65541 SW65541 JA65541">
      <formula1>Vin_mx</formula1>
      <formula2>8*Vin_mn</formula2>
    </dataValidation>
    <dataValidation type="decimal" allowBlank="1" showInputMessage="1" showErrorMessage="1" errorTitle="Invalid Input" error="Enter a value between 2.5V and Vin_typ." sqref="C65539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WVL7 C131075 C196611 C262147 C327683 C393219 C458755 C524291 C589827 C655363 C720899 C786435 C851971 C917507 C983043 WVL983044 WLP983044 WBT983044 VRX983044 VIB983044 UYF983044 UOJ983044 UEN983044 TUR983044 TKV983044 TAZ983044 SRD983044 SHH983044 RXL983044 RNP983044 RDT983044 QTX983044 QKB983044 QAF983044 PQJ983044 PGN983044 OWR983044 OMV983044 OCZ983044 NTD983044 NJH983044 MZL983044 MPP983044 MFT983044 LVX983044 LMB983044 LCF983044 KSJ983044 KIN983044 JYR983044 JOV983044 JEZ983044 IVD983044 ILH983044 IBL983044 HRP983044 HHT983044 GXX983044 GOB983044 GEF983044 FUJ983044 FKN983044 FAR983044 EQV983044 EGZ983044 DXD983044 DNH983044 DDL983044 CTP983044 CJT983044 BZX983044 BQB983044 BGF983044 AWJ983044 AMN983044 ACR983044 SV983044 IZ983044 WVL917508 WLP917508 WBT917508 VRX917508 VIB917508 UYF917508 UOJ917508 UEN917508 TUR917508 TKV917508 TAZ917508 SRD917508 SHH917508 RXL917508 RNP917508 RDT917508 QTX917508 QKB917508 QAF917508 PQJ917508 PGN917508 OWR917508 OMV917508 OCZ917508 NTD917508 NJH917508 MZL917508 MPP917508 MFT917508 LVX917508 LMB917508 LCF917508 KSJ917508 KIN917508 JYR917508 JOV917508 JEZ917508 IVD917508 ILH917508 IBL917508 HRP917508 HHT917508 GXX917508 GOB917508 GEF917508 FUJ917508 FKN917508 FAR917508 EQV917508 EGZ917508 DXD917508 DNH917508 DDL917508 CTP917508 CJT917508 BZX917508 BQB917508 BGF917508 AWJ917508 AMN917508 ACR917508 SV917508 IZ917508 WVL851972 WLP851972 WBT851972 VRX851972 VIB851972 UYF851972 UOJ851972 UEN851972 TUR851972 TKV851972 TAZ851972 SRD851972 SHH851972 RXL851972 RNP851972 RDT851972 QTX851972 QKB851972 QAF851972 PQJ851972 PGN851972 OWR851972 OMV851972 OCZ851972 NTD851972 NJH851972 MZL851972 MPP851972 MFT851972 LVX851972 LMB851972 LCF851972 KSJ851972 KIN851972 JYR851972 JOV851972 JEZ851972 IVD851972 ILH851972 IBL851972 HRP851972 HHT851972 GXX851972 GOB851972 GEF851972 FUJ851972 FKN851972 FAR851972 EQV851972 EGZ851972 DXD851972 DNH851972 DDL851972 CTP851972 CJT851972 BZX851972 BQB851972 BGF851972 AWJ851972 AMN851972 ACR851972 SV851972 IZ851972 WVL786436 WLP786436 WBT786436 VRX786436 VIB786436 UYF786436 UOJ786436 UEN786436 TUR786436 TKV786436 TAZ786436 SRD786436 SHH786436 RXL786436 RNP786436 RDT786436 QTX786436 QKB786436 QAF786436 PQJ786436 PGN786436 OWR786436 OMV786436 OCZ786436 NTD786436 NJH786436 MZL786436 MPP786436 MFT786436 LVX786436 LMB786436 LCF786436 KSJ786436 KIN786436 JYR786436 JOV786436 JEZ786436 IVD786436 ILH786436 IBL786436 HRP786436 HHT786436 GXX786436 GOB786436 GEF786436 FUJ786436 FKN786436 FAR786436 EQV786436 EGZ786436 DXD786436 DNH786436 DDL786436 CTP786436 CJT786436 BZX786436 BQB786436 BGF786436 AWJ786436 AMN786436 ACR786436 SV786436 IZ786436 WVL720900 WLP720900 WBT720900 VRX720900 VIB720900 UYF720900 UOJ720900 UEN720900 TUR720900 TKV720900 TAZ720900 SRD720900 SHH720900 RXL720900 RNP720900 RDT720900 QTX720900 QKB720900 QAF720900 PQJ720900 PGN720900 OWR720900 OMV720900 OCZ720900 NTD720900 NJH720900 MZL720900 MPP720900 MFT720900 LVX720900 LMB720900 LCF720900 KSJ720900 KIN720900 JYR720900 JOV720900 JEZ720900 IVD720900 ILH720900 IBL720900 HRP720900 HHT720900 GXX720900 GOB720900 GEF720900 FUJ720900 FKN720900 FAR720900 EQV720900 EGZ720900 DXD720900 DNH720900 DDL720900 CTP720900 CJT720900 BZX720900 BQB720900 BGF720900 AWJ720900 AMN720900 ACR720900 SV720900 IZ720900 WVL655364 WLP655364 WBT655364 VRX655364 VIB655364 UYF655364 UOJ655364 UEN655364 TUR655364 TKV655364 TAZ655364 SRD655364 SHH655364 RXL655364 RNP655364 RDT655364 QTX655364 QKB655364 QAF655364 PQJ655364 PGN655364 OWR655364 OMV655364 OCZ655364 NTD655364 NJH655364 MZL655364 MPP655364 MFT655364 LVX655364 LMB655364 LCF655364 KSJ655364 KIN655364 JYR655364 JOV655364 JEZ655364 IVD655364 ILH655364 IBL655364 HRP655364 HHT655364 GXX655364 GOB655364 GEF655364 FUJ655364 FKN655364 FAR655364 EQV655364 EGZ655364 DXD655364 DNH655364 DDL655364 CTP655364 CJT655364 BZX655364 BQB655364 BGF655364 AWJ655364 AMN655364 ACR655364 SV655364 IZ655364 WVL589828 WLP589828 WBT589828 VRX589828 VIB589828 UYF589828 UOJ589828 UEN589828 TUR589828 TKV589828 TAZ589828 SRD589828 SHH589828 RXL589828 RNP589828 RDT589828 QTX589828 QKB589828 QAF589828 PQJ589828 PGN589828 OWR589828 OMV589828 OCZ589828 NTD589828 NJH589828 MZL589828 MPP589828 MFT589828 LVX589828 LMB589828 LCF589828 KSJ589828 KIN589828 JYR589828 JOV589828 JEZ589828 IVD589828 ILH589828 IBL589828 HRP589828 HHT589828 GXX589828 GOB589828 GEF589828 FUJ589828 FKN589828 FAR589828 EQV589828 EGZ589828 DXD589828 DNH589828 DDL589828 CTP589828 CJT589828 BZX589828 BQB589828 BGF589828 AWJ589828 AMN589828 ACR589828 SV589828 IZ589828 WVL524292 WLP524292 WBT524292 VRX524292 VIB524292 UYF524292 UOJ524292 UEN524292 TUR524292 TKV524292 TAZ524292 SRD524292 SHH524292 RXL524292 RNP524292 RDT524292 QTX524292 QKB524292 QAF524292 PQJ524292 PGN524292 OWR524292 OMV524292 OCZ524292 NTD524292 NJH524292 MZL524292 MPP524292 MFT524292 LVX524292 LMB524292 LCF524292 KSJ524292 KIN524292 JYR524292 JOV524292 JEZ524292 IVD524292 ILH524292 IBL524292 HRP524292 HHT524292 GXX524292 GOB524292 GEF524292 FUJ524292 FKN524292 FAR524292 EQV524292 EGZ524292 DXD524292 DNH524292 DDL524292 CTP524292 CJT524292 BZX524292 BQB524292 BGF524292 AWJ524292 AMN524292 ACR524292 SV524292 IZ524292 WVL458756 WLP458756 WBT458756 VRX458756 VIB458756 UYF458756 UOJ458756 UEN458756 TUR458756 TKV458756 TAZ458756 SRD458756 SHH458756 RXL458756 RNP458756 RDT458756 QTX458756 QKB458756 QAF458756 PQJ458756 PGN458756 OWR458756 OMV458756 OCZ458756 NTD458756 NJH458756 MZL458756 MPP458756 MFT458756 LVX458756 LMB458756 LCF458756 KSJ458756 KIN458756 JYR458756 JOV458756 JEZ458756 IVD458756 ILH458756 IBL458756 HRP458756 HHT458756 GXX458756 GOB458756 GEF458756 FUJ458756 FKN458756 FAR458756 EQV458756 EGZ458756 DXD458756 DNH458756 DDL458756 CTP458756 CJT458756 BZX458756 BQB458756 BGF458756 AWJ458756 AMN458756 ACR458756 SV458756 IZ458756 WVL393220 WLP393220 WBT393220 VRX393220 VIB393220 UYF393220 UOJ393220 UEN393220 TUR393220 TKV393220 TAZ393220 SRD393220 SHH393220 RXL393220 RNP393220 RDT393220 QTX393220 QKB393220 QAF393220 PQJ393220 PGN393220 OWR393220 OMV393220 OCZ393220 NTD393220 NJH393220 MZL393220 MPP393220 MFT393220 LVX393220 LMB393220 LCF393220 KSJ393220 KIN393220 JYR393220 JOV393220 JEZ393220 IVD393220 ILH393220 IBL393220 HRP393220 HHT393220 GXX393220 GOB393220 GEF393220 FUJ393220 FKN393220 FAR393220 EQV393220 EGZ393220 DXD393220 DNH393220 DDL393220 CTP393220 CJT393220 BZX393220 BQB393220 BGF393220 AWJ393220 AMN393220 ACR393220 SV393220 IZ393220 WVL327684 WLP327684 WBT327684 VRX327684 VIB327684 UYF327684 UOJ327684 UEN327684 TUR327684 TKV327684 TAZ327684 SRD327684 SHH327684 RXL327684 RNP327684 RDT327684 QTX327684 QKB327684 QAF327684 PQJ327684 PGN327684 OWR327684 OMV327684 OCZ327684 NTD327684 NJH327684 MZL327684 MPP327684 MFT327684 LVX327684 LMB327684 LCF327684 KSJ327684 KIN327684 JYR327684 JOV327684 JEZ327684 IVD327684 ILH327684 IBL327684 HRP327684 HHT327684 GXX327684 GOB327684 GEF327684 FUJ327684 FKN327684 FAR327684 EQV327684 EGZ327684 DXD327684 DNH327684 DDL327684 CTP327684 CJT327684 BZX327684 BQB327684 BGF327684 AWJ327684 AMN327684 ACR327684 SV327684 IZ327684 WVL262148 WLP262148 WBT262148 VRX262148 VIB262148 UYF262148 UOJ262148 UEN262148 TUR262148 TKV262148 TAZ262148 SRD262148 SHH262148 RXL262148 RNP262148 RDT262148 QTX262148 QKB262148 QAF262148 PQJ262148 PGN262148 OWR262148 OMV262148 OCZ262148 NTD262148 NJH262148 MZL262148 MPP262148 MFT262148 LVX262148 LMB262148 LCF262148 KSJ262148 KIN262148 JYR262148 JOV262148 JEZ262148 IVD262148 ILH262148 IBL262148 HRP262148 HHT262148 GXX262148 GOB262148 GEF262148 FUJ262148 FKN262148 FAR262148 EQV262148 EGZ262148 DXD262148 DNH262148 DDL262148 CTP262148 CJT262148 BZX262148 BQB262148 BGF262148 AWJ262148 AMN262148 ACR262148 SV262148 IZ262148 WVL196612 WLP196612 WBT196612 VRX196612 VIB196612 UYF196612 UOJ196612 UEN196612 TUR196612 TKV196612 TAZ196612 SRD196612 SHH196612 RXL196612 RNP196612 RDT196612 QTX196612 QKB196612 QAF196612 PQJ196612 PGN196612 OWR196612 OMV196612 OCZ196612 NTD196612 NJH196612 MZL196612 MPP196612 MFT196612 LVX196612 LMB196612 LCF196612 KSJ196612 KIN196612 JYR196612 JOV196612 JEZ196612 IVD196612 ILH196612 IBL196612 HRP196612 HHT196612 GXX196612 GOB196612 GEF196612 FUJ196612 FKN196612 FAR196612 EQV196612 EGZ196612 DXD196612 DNH196612 DDL196612 CTP196612 CJT196612 BZX196612 BQB196612 BGF196612 AWJ196612 AMN196612 ACR196612 SV196612 IZ196612 WVL131076 WLP131076 WBT131076 VRX131076 VIB131076 UYF131076 UOJ131076 UEN131076 TUR131076 TKV131076 TAZ131076 SRD131076 SHH131076 RXL131076 RNP131076 RDT131076 QTX131076 QKB131076 QAF131076 PQJ131076 PGN131076 OWR131076 OMV131076 OCZ131076 NTD131076 NJH131076 MZL131076 MPP131076 MFT131076 LVX131076 LMB131076 LCF131076 KSJ131076 KIN131076 JYR131076 JOV131076 JEZ131076 IVD131076 ILH131076 IBL131076 HRP131076 HHT131076 GXX131076 GOB131076 GEF131076 FUJ131076 FKN131076 FAR131076 EQV131076 EGZ131076 DXD131076 DNH131076 DDL131076 CTP131076 CJT131076 BZX131076 BQB131076 BGF131076 AWJ131076 AMN131076 ACR131076 SV131076 IZ131076 WVL65540 WLP65540 WBT65540 VRX65540 VIB65540 UYF65540 UOJ65540 UEN65540 TUR65540 TKV65540 TAZ65540 SRD65540 SHH65540 RXL65540 RNP65540 RDT65540 QTX65540 QKB65540 QAF65540 PQJ65540 PGN65540 OWR65540 OMV65540 OCZ65540 NTD65540 NJH65540 MZL65540 MPP65540 MFT65540 LVX65540 LMB65540 LCF65540 KSJ65540 KIN65540 JYR65540 JOV65540 JEZ65540 IVD65540 ILH65540 IBL65540 HRP65540 HHT65540 GXX65540 GOB65540 GEF65540 FUJ65540 FKN65540 FAR65540 EQV65540 EGZ65540 DXD65540 DNH65540 DDL65540 CTP65540 CJT65540 BZX65540 BQB65540 BGF65540 AWJ65540 AMN65540 ACR65540 SV65540 IZ65540">
      <formula1>2.5</formula1>
      <formula2>Vin</formula2>
    </dataValidation>
    <dataValidation type="decimal" allowBlank="1" showInputMessage="1" showErrorMessage="1" errorTitle="Invalid Input" error="Enter a value between 100 and 3300." sqref="D65552 WVM20 WLQ20 WBU20 VRY20 VIC20 UYG20 UOK20 UEO20 TUS20 TKW20 TBA20 SRE20 SHI20 RXM20 RNQ20 RDU20 QTY20 QKC20 QAG20 PQK20 PGO20 OWS20 OMW20 ODA20 NTE20 NJI20 MZM20 MPQ20 MFU20 LVY20 LMC20 LCG20 KSK20 KIO20 JYS20 JOW20 JFA20 IVE20 ILI20 IBM20 HRQ20 HHU20 GXY20 GOC20 GEG20 FUK20 FKO20 FAS20 EQW20 EHA20 DXE20 DNI20 DDM20 CTQ20 CJU20 BZY20 BQC20 BGG20 AWK20 AMO20 ACS20 SW20 JA20 D131088 D196624 D262160 D327696 D393232 D458768 D524304 D589840 D655376 D720912 D786448 D851984 D917520 D983056 WLQ983057 WBU983057 VRY983057 VIC983057 UYG983057 UOK983057 UEO983057 TUS983057 TKW983057 TBA983057 SRE983057 SHI983057 RXM983057 RNQ983057 RDU983057 QTY983057 QKC983057 QAG983057 PQK983057 PGO983057 OWS983057 OMW983057 ODA983057 NTE983057 NJI983057 MZM983057 MPQ983057 MFU983057 LVY983057 LMC983057 LCG983057 KSK983057 KIO983057 JYS983057 JOW983057 JFA983057 IVE983057 ILI983057 IBM983057 HRQ983057 HHU983057 GXY983057 GOC983057 GEG983057 FUK983057 FKO983057 FAS983057 EQW983057 EHA983057 DXE983057 DNI983057 DDM983057 CTQ983057 CJU983057 BZY983057 BQC983057 BGG983057 AWK983057 AMO983057 ACS983057 SW983057 JA983057 WVM917521 WLQ917521 WBU917521 VRY917521 VIC917521 UYG917521 UOK917521 UEO917521 TUS917521 TKW917521 TBA917521 SRE917521 SHI917521 RXM917521 RNQ917521 RDU917521 QTY917521 QKC917521 QAG917521 PQK917521 PGO917521 OWS917521 OMW917521 ODA917521 NTE917521 NJI917521 MZM917521 MPQ917521 MFU917521 LVY917521 LMC917521 LCG917521 KSK917521 KIO917521 JYS917521 JOW917521 JFA917521 IVE917521 ILI917521 IBM917521 HRQ917521 HHU917521 GXY917521 GOC917521 GEG917521 FUK917521 FKO917521 FAS917521 EQW917521 EHA917521 DXE917521 DNI917521 DDM917521 CTQ917521 CJU917521 BZY917521 BQC917521 BGG917521 AWK917521 AMO917521 ACS917521 SW917521 JA917521 WVM851985 WLQ851985 WBU851985 VRY851985 VIC851985 UYG851985 UOK851985 UEO851985 TUS851985 TKW851985 TBA851985 SRE851985 SHI851985 RXM851985 RNQ851985 RDU851985 QTY851985 QKC851985 QAG851985 PQK851985 PGO851985 OWS851985 OMW851985 ODA851985 NTE851985 NJI851985 MZM851985 MPQ851985 MFU851985 LVY851985 LMC851985 LCG851985 KSK851985 KIO851985 JYS851985 JOW851985 JFA851985 IVE851985 ILI851985 IBM851985 HRQ851985 HHU851985 GXY851985 GOC851985 GEG851985 FUK851985 FKO851985 FAS851985 EQW851985 EHA851985 DXE851985 DNI851985 DDM851985 CTQ851985 CJU851985 BZY851985 BQC851985 BGG851985 AWK851985 AMO851985 ACS851985 SW851985 JA851985 WVM786449 WLQ786449 WBU786449 VRY786449 VIC786449 UYG786449 UOK786449 UEO786449 TUS786449 TKW786449 TBA786449 SRE786449 SHI786449 RXM786449 RNQ786449 RDU786449 QTY786449 QKC786449 QAG786449 PQK786449 PGO786449 OWS786449 OMW786449 ODA786449 NTE786449 NJI786449 MZM786449 MPQ786449 MFU786449 LVY786449 LMC786449 LCG786449 KSK786449 KIO786449 JYS786449 JOW786449 JFA786449 IVE786449 ILI786449 IBM786449 HRQ786449 HHU786449 GXY786449 GOC786449 GEG786449 FUK786449 FKO786449 FAS786449 EQW786449 EHA786449 DXE786449 DNI786449 DDM786449 CTQ786449 CJU786449 BZY786449 BQC786449 BGG786449 AWK786449 AMO786449 ACS786449 SW786449 JA786449 WVM720913 WLQ720913 WBU720913 VRY720913 VIC720913 UYG720913 UOK720913 UEO720913 TUS720913 TKW720913 TBA720913 SRE720913 SHI720913 RXM720913 RNQ720913 RDU720913 QTY720913 QKC720913 QAG720913 PQK720913 PGO720913 OWS720913 OMW720913 ODA720913 NTE720913 NJI720913 MZM720913 MPQ720913 MFU720913 LVY720913 LMC720913 LCG720913 KSK720913 KIO720913 JYS720913 JOW720913 JFA720913 IVE720913 ILI720913 IBM720913 HRQ720913 HHU720913 GXY720913 GOC720913 GEG720913 FUK720913 FKO720913 FAS720913 EQW720913 EHA720913 DXE720913 DNI720913 DDM720913 CTQ720913 CJU720913 BZY720913 BQC720913 BGG720913 AWK720913 AMO720913 ACS720913 SW720913 JA720913 WVM655377 WLQ655377 WBU655377 VRY655377 VIC655377 UYG655377 UOK655377 UEO655377 TUS655377 TKW655377 TBA655377 SRE655377 SHI655377 RXM655377 RNQ655377 RDU655377 QTY655377 QKC655377 QAG655377 PQK655377 PGO655377 OWS655377 OMW655377 ODA655377 NTE655377 NJI655377 MZM655377 MPQ655377 MFU655377 LVY655377 LMC655377 LCG655377 KSK655377 KIO655377 JYS655377 JOW655377 JFA655377 IVE655377 ILI655377 IBM655377 HRQ655377 HHU655377 GXY655377 GOC655377 GEG655377 FUK655377 FKO655377 FAS655377 EQW655377 EHA655377 DXE655377 DNI655377 DDM655377 CTQ655377 CJU655377 BZY655377 BQC655377 BGG655377 AWK655377 AMO655377 ACS655377 SW655377 JA655377 WVM589841 WLQ589841 WBU589841 VRY589841 VIC589841 UYG589841 UOK589841 UEO589841 TUS589841 TKW589841 TBA589841 SRE589841 SHI589841 RXM589841 RNQ589841 RDU589841 QTY589841 QKC589841 QAG589841 PQK589841 PGO589841 OWS589841 OMW589841 ODA589841 NTE589841 NJI589841 MZM589841 MPQ589841 MFU589841 LVY589841 LMC589841 LCG589841 KSK589841 KIO589841 JYS589841 JOW589841 JFA589841 IVE589841 ILI589841 IBM589841 HRQ589841 HHU589841 GXY589841 GOC589841 GEG589841 FUK589841 FKO589841 FAS589841 EQW589841 EHA589841 DXE589841 DNI589841 DDM589841 CTQ589841 CJU589841 BZY589841 BQC589841 BGG589841 AWK589841 AMO589841 ACS589841 SW589841 JA589841 WVM524305 WLQ524305 WBU524305 VRY524305 VIC524305 UYG524305 UOK524305 UEO524305 TUS524305 TKW524305 TBA524305 SRE524305 SHI524305 RXM524305 RNQ524305 RDU524305 QTY524305 QKC524305 QAG524305 PQK524305 PGO524305 OWS524305 OMW524305 ODA524305 NTE524305 NJI524305 MZM524305 MPQ524305 MFU524305 LVY524305 LMC524305 LCG524305 KSK524305 KIO524305 JYS524305 JOW524305 JFA524305 IVE524305 ILI524305 IBM524305 HRQ524305 HHU524305 GXY524305 GOC524305 GEG524305 FUK524305 FKO524305 FAS524305 EQW524305 EHA524305 DXE524305 DNI524305 DDM524305 CTQ524305 CJU524305 BZY524305 BQC524305 BGG524305 AWK524305 AMO524305 ACS524305 SW524305 JA524305 WVM458769 WLQ458769 WBU458769 VRY458769 VIC458769 UYG458769 UOK458769 UEO458769 TUS458769 TKW458769 TBA458769 SRE458769 SHI458769 RXM458769 RNQ458769 RDU458769 QTY458769 QKC458769 QAG458769 PQK458769 PGO458769 OWS458769 OMW458769 ODA458769 NTE458769 NJI458769 MZM458769 MPQ458769 MFU458769 LVY458769 LMC458769 LCG458769 KSK458769 KIO458769 JYS458769 JOW458769 JFA458769 IVE458769 ILI458769 IBM458769 HRQ458769 HHU458769 GXY458769 GOC458769 GEG458769 FUK458769 FKO458769 FAS458769 EQW458769 EHA458769 DXE458769 DNI458769 DDM458769 CTQ458769 CJU458769 BZY458769 BQC458769 BGG458769 AWK458769 AMO458769 ACS458769 SW458769 JA458769 WVM393233 WLQ393233 WBU393233 VRY393233 VIC393233 UYG393233 UOK393233 UEO393233 TUS393233 TKW393233 TBA393233 SRE393233 SHI393233 RXM393233 RNQ393233 RDU393233 QTY393233 QKC393233 QAG393233 PQK393233 PGO393233 OWS393233 OMW393233 ODA393233 NTE393233 NJI393233 MZM393233 MPQ393233 MFU393233 LVY393233 LMC393233 LCG393233 KSK393233 KIO393233 JYS393233 JOW393233 JFA393233 IVE393233 ILI393233 IBM393233 HRQ393233 HHU393233 GXY393233 GOC393233 GEG393233 FUK393233 FKO393233 FAS393233 EQW393233 EHA393233 DXE393233 DNI393233 DDM393233 CTQ393233 CJU393233 BZY393233 BQC393233 BGG393233 AWK393233 AMO393233 ACS393233 SW393233 JA393233 WVM327697 WLQ327697 WBU327697 VRY327697 VIC327697 UYG327697 UOK327697 UEO327697 TUS327697 TKW327697 TBA327697 SRE327697 SHI327697 RXM327697 RNQ327697 RDU327697 QTY327697 QKC327697 QAG327697 PQK327697 PGO327697 OWS327697 OMW327697 ODA327697 NTE327697 NJI327697 MZM327697 MPQ327697 MFU327697 LVY327697 LMC327697 LCG327697 KSK327697 KIO327697 JYS327697 JOW327697 JFA327697 IVE327697 ILI327697 IBM327697 HRQ327697 HHU327697 GXY327697 GOC327697 GEG327697 FUK327697 FKO327697 FAS327697 EQW327697 EHA327697 DXE327697 DNI327697 DDM327697 CTQ327697 CJU327697 BZY327697 BQC327697 BGG327697 AWK327697 AMO327697 ACS327697 SW327697 JA327697 WVM262161 WLQ262161 WBU262161 VRY262161 VIC262161 UYG262161 UOK262161 UEO262161 TUS262161 TKW262161 TBA262161 SRE262161 SHI262161 RXM262161 RNQ262161 RDU262161 QTY262161 QKC262161 QAG262161 PQK262161 PGO262161 OWS262161 OMW262161 ODA262161 NTE262161 NJI262161 MZM262161 MPQ262161 MFU262161 LVY262161 LMC262161 LCG262161 KSK262161 KIO262161 JYS262161 JOW262161 JFA262161 IVE262161 ILI262161 IBM262161 HRQ262161 HHU262161 GXY262161 GOC262161 GEG262161 FUK262161 FKO262161 FAS262161 EQW262161 EHA262161 DXE262161 DNI262161 DDM262161 CTQ262161 CJU262161 BZY262161 BQC262161 BGG262161 AWK262161 AMO262161 ACS262161 SW262161 JA262161 WVM196625 WLQ196625 WBU196625 VRY196625 VIC196625 UYG196625 UOK196625 UEO196625 TUS196625 TKW196625 TBA196625 SRE196625 SHI196625 RXM196625 RNQ196625 RDU196625 QTY196625 QKC196625 QAG196625 PQK196625 PGO196625 OWS196625 OMW196625 ODA196625 NTE196625 NJI196625 MZM196625 MPQ196625 MFU196625 LVY196625 LMC196625 LCG196625 KSK196625 KIO196625 JYS196625 JOW196625 JFA196625 IVE196625 ILI196625 IBM196625 HRQ196625 HHU196625 GXY196625 GOC196625 GEG196625 FUK196625 FKO196625 FAS196625 EQW196625 EHA196625 DXE196625 DNI196625 DDM196625 CTQ196625 CJU196625 BZY196625 BQC196625 BGG196625 AWK196625 AMO196625 ACS196625 SW196625 JA196625 WVM131089 WLQ131089 WBU131089 VRY131089 VIC131089 UYG131089 UOK131089 UEO131089 TUS131089 TKW131089 TBA131089 SRE131089 SHI131089 RXM131089 RNQ131089 RDU131089 QTY131089 QKC131089 QAG131089 PQK131089 PGO131089 OWS131089 OMW131089 ODA131089 NTE131089 NJI131089 MZM131089 MPQ131089 MFU131089 LVY131089 LMC131089 LCG131089 KSK131089 KIO131089 JYS131089 JOW131089 JFA131089 IVE131089 ILI131089 IBM131089 HRQ131089 HHU131089 GXY131089 GOC131089 GEG131089 FUK131089 FKO131089 FAS131089 EQW131089 EHA131089 DXE131089 DNI131089 DDM131089 CTQ131089 CJU131089 BZY131089 BQC131089 BGG131089 AWK131089 AMO131089 ACS131089 SW131089 JA131089 WVM65553 WLQ65553 WBU65553 VRY65553 VIC65553 UYG65553 UOK65553 UEO65553 TUS65553 TKW65553 TBA65553 SRE65553 SHI65553 RXM65553 RNQ65553 RDU65553 QTY65553 QKC65553 QAG65553 PQK65553 PGO65553 OWS65553 OMW65553 ODA65553 NTE65553 NJI65553 MZM65553 MPQ65553 MFU65553 LVY65553 LMC65553 LCG65553 KSK65553 KIO65553 JYS65553 JOW65553 JFA65553 IVE65553 ILI65553 IBM65553 HRQ65553 HHU65553 GXY65553 GOC65553 GEG65553 FUK65553 FKO65553 FAS65553 EQW65553 EHA65553 DXE65553 DNI65553 DDM65553 CTQ65553 CJU65553 BZY65553 BQC65553 BGG65553 AWK65553 AMO65553 ACS65553 SW65553 JA65553 WVM983057">
      <formula1>1</formula1>
      <formula2>3300</formula2>
    </dataValidation>
    <dataValidation type="decimal" allowBlank="1" showInputMessage="1" showErrorMessage="1" errorTitle="Invalid Input" error="Enter a value between Vin_typ and 40." sqref="E65539 WLR7 WBV7 VRZ7 VID7 UYH7 UOL7 UEP7 TUT7 TKX7 TBB7 SRF7 SHJ7 RXN7 RNR7 RDV7 QTZ7 QKD7 QAH7 PQL7 PGP7 OWT7 OMX7 ODB7 NTF7 NJJ7 MZN7 MPR7 MFV7 LVZ7 LMD7 LCH7 KSL7 KIP7 JYT7 JOX7 JFB7 IVF7 ILJ7 IBN7 HRR7 HHV7 GXZ7 GOD7 GEH7 FUL7 FKP7 FAT7 EQX7 EHB7 DXF7 DNJ7 DDN7 CTR7 CJV7 BZZ7 BQD7 BGH7 AWL7 AMP7 ACT7 SX7 JB7 WVN7 E131075 E196611 E262147 E327683 E393219 E458755 E524291 E589827 E655363 E720899 E786435 E851971 E917507 E983043 WVN983044 WLR983044 WBV983044 VRZ983044 VID983044 UYH983044 UOL983044 UEP983044 TUT983044 TKX983044 TBB983044 SRF983044 SHJ983044 RXN983044 RNR983044 RDV983044 QTZ983044 QKD983044 QAH983044 PQL983044 PGP983044 OWT983044 OMX983044 ODB983044 NTF983044 NJJ983044 MZN983044 MPR983044 MFV983044 LVZ983044 LMD983044 LCH983044 KSL983044 KIP983044 JYT983044 JOX983044 JFB983044 IVF983044 ILJ983044 IBN983044 HRR983044 HHV983044 GXZ983044 GOD983044 GEH983044 FUL983044 FKP983044 FAT983044 EQX983044 EHB983044 DXF983044 DNJ983044 DDN983044 CTR983044 CJV983044 BZZ983044 BQD983044 BGH983044 AWL983044 AMP983044 ACT983044 SX983044 JB983044 WVN917508 WLR917508 WBV917508 VRZ917508 VID917508 UYH917508 UOL917508 UEP917508 TUT917508 TKX917508 TBB917508 SRF917508 SHJ917508 RXN917508 RNR917508 RDV917508 QTZ917508 QKD917508 QAH917508 PQL917508 PGP917508 OWT917508 OMX917508 ODB917508 NTF917508 NJJ917508 MZN917508 MPR917508 MFV917508 LVZ917508 LMD917508 LCH917508 KSL917508 KIP917508 JYT917508 JOX917508 JFB917508 IVF917508 ILJ917508 IBN917508 HRR917508 HHV917508 GXZ917508 GOD917508 GEH917508 FUL917508 FKP917508 FAT917508 EQX917508 EHB917508 DXF917508 DNJ917508 DDN917508 CTR917508 CJV917508 BZZ917508 BQD917508 BGH917508 AWL917508 AMP917508 ACT917508 SX917508 JB917508 WVN851972 WLR851972 WBV851972 VRZ851972 VID851972 UYH851972 UOL851972 UEP851972 TUT851972 TKX851972 TBB851972 SRF851972 SHJ851972 RXN851972 RNR851972 RDV851972 QTZ851972 QKD851972 QAH851972 PQL851972 PGP851972 OWT851972 OMX851972 ODB851972 NTF851972 NJJ851972 MZN851972 MPR851972 MFV851972 LVZ851972 LMD851972 LCH851972 KSL851972 KIP851972 JYT851972 JOX851972 JFB851972 IVF851972 ILJ851972 IBN851972 HRR851972 HHV851972 GXZ851972 GOD851972 GEH851972 FUL851972 FKP851972 FAT851972 EQX851972 EHB851972 DXF851972 DNJ851972 DDN851972 CTR851972 CJV851972 BZZ851972 BQD851972 BGH851972 AWL851972 AMP851972 ACT851972 SX851972 JB851972 WVN786436 WLR786436 WBV786436 VRZ786436 VID786436 UYH786436 UOL786436 UEP786436 TUT786436 TKX786436 TBB786436 SRF786436 SHJ786436 RXN786436 RNR786436 RDV786436 QTZ786436 QKD786436 QAH786436 PQL786436 PGP786436 OWT786436 OMX786436 ODB786436 NTF786436 NJJ786436 MZN786436 MPR786436 MFV786436 LVZ786436 LMD786436 LCH786436 KSL786436 KIP786436 JYT786436 JOX786436 JFB786436 IVF786436 ILJ786436 IBN786436 HRR786436 HHV786436 GXZ786436 GOD786436 GEH786436 FUL786436 FKP786436 FAT786436 EQX786436 EHB786436 DXF786436 DNJ786436 DDN786436 CTR786436 CJV786436 BZZ786436 BQD786436 BGH786436 AWL786436 AMP786436 ACT786436 SX786436 JB786436 WVN720900 WLR720900 WBV720900 VRZ720900 VID720900 UYH720900 UOL720900 UEP720900 TUT720900 TKX720900 TBB720900 SRF720900 SHJ720900 RXN720900 RNR720900 RDV720900 QTZ720900 QKD720900 QAH720900 PQL720900 PGP720900 OWT720900 OMX720900 ODB720900 NTF720900 NJJ720900 MZN720900 MPR720900 MFV720900 LVZ720900 LMD720900 LCH720900 KSL720900 KIP720900 JYT720900 JOX720900 JFB720900 IVF720900 ILJ720900 IBN720900 HRR720900 HHV720900 GXZ720900 GOD720900 GEH720900 FUL720900 FKP720900 FAT720900 EQX720900 EHB720900 DXF720900 DNJ720900 DDN720900 CTR720900 CJV720900 BZZ720900 BQD720900 BGH720900 AWL720900 AMP720900 ACT720900 SX720900 JB720900 WVN655364 WLR655364 WBV655364 VRZ655364 VID655364 UYH655364 UOL655364 UEP655364 TUT655364 TKX655364 TBB655364 SRF655364 SHJ655364 RXN655364 RNR655364 RDV655364 QTZ655364 QKD655364 QAH655364 PQL655364 PGP655364 OWT655364 OMX655364 ODB655364 NTF655364 NJJ655364 MZN655364 MPR655364 MFV655364 LVZ655364 LMD655364 LCH655364 KSL655364 KIP655364 JYT655364 JOX655364 JFB655364 IVF655364 ILJ655364 IBN655364 HRR655364 HHV655364 GXZ655364 GOD655364 GEH655364 FUL655364 FKP655364 FAT655364 EQX655364 EHB655364 DXF655364 DNJ655364 DDN655364 CTR655364 CJV655364 BZZ655364 BQD655364 BGH655364 AWL655364 AMP655364 ACT655364 SX655364 JB655364 WVN589828 WLR589828 WBV589828 VRZ589828 VID589828 UYH589828 UOL589828 UEP589828 TUT589828 TKX589828 TBB589828 SRF589828 SHJ589828 RXN589828 RNR589828 RDV589828 QTZ589828 QKD589828 QAH589828 PQL589828 PGP589828 OWT589828 OMX589828 ODB589828 NTF589828 NJJ589828 MZN589828 MPR589828 MFV589828 LVZ589828 LMD589828 LCH589828 KSL589828 KIP589828 JYT589828 JOX589828 JFB589828 IVF589828 ILJ589828 IBN589828 HRR589828 HHV589828 GXZ589828 GOD589828 GEH589828 FUL589828 FKP589828 FAT589828 EQX589828 EHB589828 DXF589828 DNJ589828 DDN589828 CTR589828 CJV589828 BZZ589828 BQD589828 BGH589828 AWL589828 AMP589828 ACT589828 SX589828 JB589828 WVN524292 WLR524292 WBV524292 VRZ524292 VID524292 UYH524292 UOL524292 UEP524292 TUT524292 TKX524292 TBB524292 SRF524292 SHJ524292 RXN524292 RNR524292 RDV524292 QTZ524292 QKD524292 QAH524292 PQL524292 PGP524292 OWT524292 OMX524292 ODB524292 NTF524292 NJJ524292 MZN524292 MPR524292 MFV524292 LVZ524292 LMD524292 LCH524292 KSL524292 KIP524292 JYT524292 JOX524292 JFB524292 IVF524292 ILJ524292 IBN524292 HRR524292 HHV524292 GXZ524292 GOD524292 GEH524292 FUL524292 FKP524292 FAT524292 EQX524292 EHB524292 DXF524292 DNJ524292 DDN524292 CTR524292 CJV524292 BZZ524292 BQD524292 BGH524292 AWL524292 AMP524292 ACT524292 SX524292 JB524292 WVN458756 WLR458756 WBV458756 VRZ458756 VID458756 UYH458756 UOL458756 UEP458756 TUT458756 TKX458756 TBB458756 SRF458756 SHJ458756 RXN458756 RNR458756 RDV458756 QTZ458756 QKD458756 QAH458756 PQL458756 PGP458756 OWT458756 OMX458756 ODB458756 NTF458756 NJJ458756 MZN458756 MPR458756 MFV458756 LVZ458756 LMD458756 LCH458756 KSL458756 KIP458756 JYT458756 JOX458756 JFB458756 IVF458756 ILJ458756 IBN458756 HRR458756 HHV458756 GXZ458756 GOD458756 GEH458756 FUL458756 FKP458756 FAT458756 EQX458756 EHB458756 DXF458756 DNJ458756 DDN458756 CTR458756 CJV458756 BZZ458756 BQD458756 BGH458756 AWL458756 AMP458756 ACT458756 SX458756 JB458756 WVN393220 WLR393220 WBV393220 VRZ393220 VID393220 UYH393220 UOL393220 UEP393220 TUT393220 TKX393220 TBB393220 SRF393220 SHJ393220 RXN393220 RNR393220 RDV393220 QTZ393220 QKD393220 QAH393220 PQL393220 PGP393220 OWT393220 OMX393220 ODB393220 NTF393220 NJJ393220 MZN393220 MPR393220 MFV393220 LVZ393220 LMD393220 LCH393220 KSL393220 KIP393220 JYT393220 JOX393220 JFB393220 IVF393220 ILJ393220 IBN393220 HRR393220 HHV393220 GXZ393220 GOD393220 GEH393220 FUL393220 FKP393220 FAT393220 EQX393220 EHB393220 DXF393220 DNJ393220 DDN393220 CTR393220 CJV393220 BZZ393220 BQD393220 BGH393220 AWL393220 AMP393220 ACT393220 SX393220 JB393220 WVN327684 WLR327684 WBV327684 VRZ327684 VID327684 UYH327684 UOL327684 UEP327684 TUT327684 TKX327684 TBB327684 SRF327684 SHJ327684 RXN327684 RNR327684 RDV327684 QTZ327684 QKD327684 QAH327684 PQL327684 PGP327684 OWT327684 OMX327684 ODB327684 NTF327684 NJJ327684 MZN327684 MPR327684 MFV327684 LVZ327684 LMD327684 LCH327684 KSL327684 KIP327684 JYT327684 JOX327684 JFB327684 IVF327684 ILJ327684 IBN327684 HRR327684 HHV327684 GXZ327684 GOD327684 GEH327684 FUL327684 FKP327684 FAT327684 EQX327684 EHB327684 DXF327684 DNJ327684 DDN327684 CTR327684 CJV327684 BZZ327684 BQD327684 BGH327684 AWL327684 AMP327684 ACT327684 SX327684 JB327684 WVN262148 WLR262148 WBV262148 VRZ262148 VID262148 UYH262148 UOL262148 UEP262148 TUT262148 TKX262148 TBB262148 SRF262148 SHJ262148 RXN262148 RNR262148 RDV262148 QTZ262148 QKD262148 QAH262148 PQL262148 PGP262148 OWT262148 OMX262148 ODB262148 NTF262148 NJJ262148 MZN262148 MPR262148 MFV262148 LVZ262148 LMD262148 LCH262148 KSL262148 KIP262148 JYT262148 JOX262148 JFB262148 IVF262148 ILJ262148 IBN262148 HRR262148 HHV262148 GXZ262148 GOD262148 GEH262148 FUL262148 FKP262148 FAT262148 EQX262148 EHB262148 DXF262148 DNJ262148 DDN262148 CTR262148 CJV262148 BZZ262148 BQD262148 BGH262148 AWL262148 AMP262148 ACT262148 SX262148 JB262148 WVN196612 WLR196612 WBV196612 VRZ196612 VID196612 UYH196612 UOL196612 UEP196612 TUT196612 TKX196612 TBB196612 SRF196612 SHJ196612 RXN196612 RNR196612 RDV196612 QTZ196612 QKD196612 QAH196612 PQL196612 PGP196612 OWT196612 OMX196612 ODB196612 NTF196612 NJJ196612 MZN196612 MPR196612 MFV196612 LVZ196612 LMD196612 LCH196612 KSL196612 KIP196612 JYT196612 JOX196612 JFB196612 IVF196612 ILJ196612 IBN196612 HRR196612 HHV196612 GXZ196612 GOD196612 GEH196612 FUL196612 FKP196612 FAT196612 EQX196612 EHB196612 DXF196612 DNJ196612 DDN196612 CTR196612 CJV196612 BZZ196612 BQD196612 BGH196612 AWL196612 AMP196612 ACT196612 SX196612 JB196612 WVN131076 WLR131076 WBV131076 VRZ131076 VID131076 UYH131076 UOL131076 UEP131076 TUT131076 TKX131076 TBB131076 SRF131076 SHJ131076 RXN131076 RNR131076 RDV131076 QTZ131076 QKD131076 QAH131076 PQL131076 PGP131076 OWT131076 OMX131076 ODB131076 NTF131076 NJJ131076 MZN131076 MPR131076 MFV131076 LVZ131076 LMD131076 LCH131076 KSL131076 KIP131076 JYT131076 JOX131076 JFB131076 IVF131076 ILJ131076 IBN131076 HRR131076 HHV131076 GXZ131076 GOD131076 GEH131076 FUL131076 FKP131076 FAT131076 EQX131076 EHB131076 DXF131076 DNJ131076 DDN131076 CTR131076 CJV131076 BZZ131076 BQD131076 BGH131076 AWL131076 AMP131076 ACT131076 SX131076 JB131076 WVN65540 WLR65540 WBV65540 VRZ65540 VID65540 UYH65540 UOL65540 UEP65540 TUT65540 TKX65540 TBB65540 SRF65540 SHJ65540 RXN65540 RNR65540 RDV65540 QTZ65540 QKD65540 QAH65540 PQL65540 PGP65540 OWT65540 OMX65540 ODB65540 NTF65540 NJJ65540 MZN65540 MPR65540 MFV65540 LVZ65540 LMD65540 LCH65540 KSL65540 KIP65540 JYT65540 JOX65540 JFB65540 IVF65540 ILJ65540 IBN65540 HRR65540 HHV65540 GXZ65540 GOD65540 GEH65540 FUL65540 FKP65540 FAT65540 EQX65540 EHB65540 DXF65540 DNJ65540 DDN65540 CTR65540 CJV65540 BZZ65540 BQD65540 BGH65540 AWL65540 AMP65540 ACT65540 SX65540 JB65540">
      <formula1>Vin</formula1>
      <formula2>40</formula2>
    </dataValidation>
    <dataValidation type="whole" showInputMessage="1" showErrorMessage="1" errorTitle="Invalid Input" error="Enter a value between 5000 and 500,000." sqref="D65551 WLQ19 WBU19 VRY19 VIC19 UYG19 UOK19 UEO19 TUS19 TKW19 TBA19 SRE19 SHI19 RXM19 RNQ19 RDU19 QTY19 QKC19 QAG19 PQK19 PGO19 OWS19 OMW19 ODA19 NTE19 NJI19 MZM19 MPQ19 MFU19 LVY19 LMC19 LCG19 KSK19 KIO19 JYS19 JOW19 JFA19 IVE19 ILI19 IBM19 HRQ19 HHU19 GXY19 GOC19 GEG19 FUK19 FKO19 FAS19 EQW19 EHA19 DXE19 DNI19 DDM19 CTQ19 CJU19 BZY19 BQC19 BGG19 AWK19 AMO19 ACS19 SW19 JA19 WVM19 D131087 D196623 D262159 D327695 D393231 D458767 D524303 D589839 D655375 D720911 D786447 D851983 D917519 D983055 WVM983056 WLQ983056 WBU983056 VRY983056 VIC983056 UYG983056 UOK983056 UEO983056 TUS983056 TKW983056 TBA983056 SRE983056 SHI983056 RXM983056 RNQ983056 RDU983056 QTY983056 QKC983056 QAG983056 PQK983056 PGO983056 OWS983056 OMW983056 ODA983056 NTE983056 NJI983056 MZM983056 MPQ983056 MFU983056 LVY983056 LMC983056 LCG983056 KSK983056 KIO983056 JYS983056 JOW983056 JFA983056 IVE983056 ILI983056 IBM983056 HRQ983056 HHU983056 GXY983056 GOC983056 GEG983056 FUK983056 FKO983056 FAS983056 EQW983056 EHA983056 DXE983056 DNI983056 DDM983056 CTQ983056 CJU983056 BZY983056 BQC983056 BGG983056 AWK983056 AMO983056 ACS983056 SW983056 JA983056 WVM917520 WLQ917520 WBU917520 VRY917520 VIC917520 UYG917520 UOK917520 UEO917520 TUS917520 TKW917520 TBA917520 SRE917520 SHI917520 RXM917520 RNQ917520 RDU917520 QTY917520 QKC917520 QAG917520 PQK917520 PGO917520 OWS917520 OMW917520 ODA917520 NTE917520 NJI917520 MZM917520 MPQ917520 MFU917520 LVY917520 LMC917520 LCG917520 KSK917520 KIO917520 JYS917520 JOW917520 JFA917520 IVE917520 ILI917520 IBM917520 HRQ917520 HHU917520 GXY917520 GOC917520 GEG917520 FUK917520 FKO917520 FAS917520 EQW917520 EHA917520 DXE917520 DNI917520 DDM917520 CTQ917520 CJU917520 BZY917520 BQC917520 BGG917520 AWK917520 AMO917520 ACS917520 SW917520 JA917520 WVM851984 WLQ851984 WBU851984 VRY851984 VIC851984 UYG851984 UOK851984 UEO851984 TUS851984 TKW851984 TBA851984 SRE851984 SHI851984 RXM851984 RNQ851984 RDU851984 QTY851984 QKC851984 QAG851984 PQK851984 PGO851984 OWS851984 OMW851984 ODA851984 NTE851984 NJI851984 MZM851984 MPQ851984 MFU851984 LVY851984 LMC851984 LCG851984 KSK851984 KIO851984 JYS851984 JOW851984 JFA851984 IVE851984 ILI851984 IBM851984 HRQ851984 HHU851984 GXY851984 GOC851984 GEG851984 FUK851984 FKO851984 FAS851984 EQW851984 EHA851984 DXE851984 DNI851984 DDM851984 CTQ851984 CJU851984 BZY851984 BQC851984 BGG851984 AWK851984 AMO851984 ACS851984 SW851984 JA851984 WVM786448 WLQ786448 WBU786448 VRY786448 VIC786448 UYG786448 UOK786448 UEO786448 TUS786448 TKW786448 TBA786448 SRE786448 SHI786448 RXM786448 RNQ786448 RDU786448 QTY786448 QKC786448 QAG786448 PQK786448 PGO786448 OWS786448 OMW786448 ODA786448 NTE786448 NJI786448 MZM786448 MPQ786448 MFU786448 LVY786448 LMC786448 LCG786448 KSK786448 KIO786448 JYS786448 JOW786448 JFA786448 IVE786448 ILI786448 IBM786448 HRQ786448 HHU786448 GXY786448 GOC786448 GEG786448 FUK786448 FKO786448 FAS786448 EQW786448 EHA786448 DXE786448 DNI786448 DDM786448 CTQ786448 CJU786448 BZY786448 BQC786448 BGG786448 AWK786448 AMO786448 ACS786448 SW786448 JA786448 WVM720912 WLQ720912 WBU720912 VRY720912 VIC720912 UYG720912 UOK720912 UEO720912 TUS720912 TKW720912 TBA720912 SRE720912 SHI720912 RXM720912 RNQ720912 RDU720912 QTY720912 QKC720912 QAG720912 PQK720912 PGO720912 OWS720912 OMW720912 ODA720912 NTE720912 NJI720912 MZM720912 MPQ720912 MFU720912 LVY720912 LMC720912 LCG720912 KSK720912 KIO720912 JYS720912 JOW720912 JFA720912 IVE720912 ILI720912 IBM720912 HRQ720912 HHU720912 GXY720912 GOC720912 GEG720912 FUK720912 FKO720912 FAS720912 EQW720912 EHA720912 DXE720912 DNI720912 DDM720912 CTQ720912 CJU720912 BZY720912 BQC720912 BGG720912 AWK720912 AMO720912 ACS720912 SW720912 JA720912 WVM655376 WLQ655376 WBU655376 VRY655376 VIC655376 UYG655376 UOK655376 UEO655376 TUS655376 TKW655376 TBA655376 SRE655376 SHI655376 RXM655376 RNQ655376 RDU655376 QTY655376 QKC655376 QAG655376 PQK655376 PGO655376 OWS655376 OMW655376 ODA655376 NTE655376 NJI655376 MZM655376 MPQ655376 MFU655376 LVY655376 LMC655376 LCG655376 KSK655376 KIO655376 JYS655376 JOW655376 JFA655376 IVE655376 ILI655376 IBM655376 HRQ655376 HHU655376 GXY655376 GOC655376 GEG655376 FUK655376 FKO655376 FAS655376 EQW655376 EHA655376 DXE655376 DNI655376 DDM655376 CTQ655376 CJU655376 BZY655376 BQC655376 BGG655376 AWK655376 AMO655376 ACS655376 SW655376 JA655376 WVM589840 WLQ589840 WBU589840 VRY589840 VIC589840 UYG589840 UOK589840 UEO589840 TUS589840 TKW589840 TBA589840 SRE589840 SHI589840 RXM589840 RNQ589840 RDU589840 QTY589840 QKC589840 QAG589840 PQK589840 PGO589840 OWS589840 OMW589840 ODA589840 NTE589840 NJI589840 MZM589840 MPQ589840 MFU589840 LVY589840 LMC589840 LCG589840 KSK589840 KIO589840 JYS589840 JOW589840 JFA589840 IVE589840 ILI589840 IBM589840 HRQ589840 HHU589840 GXY589840 GOC589840 GEG589840 FUK589840 FKO589840 FAS589840 EQW589840 EHA589840 DXE589840 DNI589840 DDM589840 CTQ589840 CJU589840 BZY589840 BQC589840 BGG589840 AWK589840 AMO589840 ACS589840 SW589840 JA589840 WVM524304 WLQ524304 WBU524304 VRY524304 VIC524304 UYG524304 UOK524304 UEO524304 TUS524304 TKW524304 TBA524304 SRE524304 SHI524304 RXM524304 RNQ524304 RDU524304 QTY524304 QKC524304 QAG524304 PQK524304 PGO524304 OWS524304 OMW524304 ODA524304 NTE524304 NJI524304 MZM524304 MPQ524304 MFU524304 LVY524304 LMC524304 LCG524304 KSK524304 KIO524304 JYS524304 JOW524304 JFA524304 IVE524304 ILI524304 IBM524304 HRQ524304 HHU524304 GXY524304 GOC524304 GEG524304 FUK524304 FKO524304 FAS524304 EQW524304 EHA524304 DXE524304 DNI524304 DDM524304 CTQ524304 CJU524304 BZY524304 BQC524304 BGG524304 AWK524304 AMO524304 ACS524304 SW524304 JA524304 WVM458768 WLQ458768 WBU458768 VRY458768 VIC458768 UYG458768 UOK458768 UEO458768 TUS458768 TKW458768 TBA458768 SRE458768 SHI458768 RXM458768 RNQ458768 RDU458768 QTY458768 QKC458768 QAG458768 PQK458768 PGO458768 OWS458768 OMW458768 ODA458768 NTE458768 NJI458768 MZM458768 MPQ458768 MFU458768 LVY458768 LMC458768 LCG458768 KSK458768 KIO458768 JYS458768 JOW458768 JFA458768 IVE458768 ILI458768 IBM458768 HRQ458768 HHU458768 GXY458768 GOC458768 GEG458768 FUK458768 FKO458768 FAS458768 EQW458768 EHA458768 DXE458768 DNI458768 DDM458768 CTQ458768 CJU458768 BZY458768 BQC458768 BGG458768 AWK458768 AMO458768 ACS458768 SW458768 JA458768 WVM393232 WLQ393232 WBU393232 VRY393232 VIC393232 UYG393232 UOK393232 UEO393232 TUS393232 TKW393232 TBA393232 SRE393232 SHI393232 RXM393232 RNQ393232 RDU393232 QTY393232 QKC393232 QAG393232 PQK393232 PGO393232 OWS393232 OMW393232 ODA393232 NTE393232 NJI393232 MZM393232 MPQ393232 MFU393232 LVY393232 LMC393232 LCG393232 KSK393232 KIO393232 JYS393232 JOW393232 JFA393232 IVE393232 ILI393232 IBM393232 HRQ393232 HHU393232 GXY393232 GOC393232 GEG393232 FUK393232 FKO393232 FAS393232 EQW393232 EHA393232 DXE393232 DNI393232 DDM393232 CTQ393232 CJU393232 BZY393232 BQC393232 BGG393232 AWK393232 AMO393232 ACS393232 SW393232 JA393232 WVM327696 WLQ327696 WBU327696 VRY327696 VIC327696 UYG327696 UOK327696 UEO327696 TUS327696 TKW327696 TBA327696 SRE327696 SHI327696 RXM327696 RNQ327696 RDU327696 QTY327696 QKC327696 QAG327696 PQK327696 PGO327696 OWS327696 OMW327696 ODA327696 NTE327696 NJI327696 MZM327696 MPQ327696 MFU327696 LVY327696 LMC327696 LCG327696 KSK327696 KIO327696 JYS327696 JOW327696 JFA327696 IVE327696 ILI327696 IBM327696 HRQ327696 HHU327696 GXY327696 GOC327696 GEG327696 FUK327696 FKO327696 FAS327696 EQW327696 EHA327696 DXE327696 DNI327696 DDM327696 CTQ327696 CJU327696 BZY327696 BQC327696 BGG327696 AWK327696 AMO327696 ACS327696 SW327696 JA327696 WVM262160 WLQ262160 WBU262160 VRY262160 VIC262160 UYG262160 UOK262160 UEO262160 TUS262160 TKW262160 TBA262160 SRE262160 SHI262160 RXM262160 RNQ262160 RDU262160 QTY262160 QKC262160 QAG262160 PQK262160 PGO262160 OWS262160 OMW262160 ODA262160 NTE262160 NJI262160 MZM262160 MPQ262160 MFU262160 LVY262160 LMC262160 LCG262160 KSK262160 KIO262160 JYS262160 JOW262160 JFA262160 IVE262160 ILI262160 IBM262160 HRQ262160 HHU262160 GXY262160 GOC262160 GEG262160 FUK262160 FKO262160 FAS262160 EQW262160 EHA262160 DXE262160 DNI262160 DDM262160 CTQ262160 CJU262160 BZY262160 BQC262160 BGG262160 AWK262160 AMO262160 ACS262160 SW262160 JA262160 WVM196624 WLQ196624 WBU196624 VRY196624 VIC196624 UYG196624 UOK196624 UEO196624 TUS196624 TKW196624 TBA196624 SRE196624 SHI196624 RXM196624 RNQ196624 RDU196624 QTY196624 QKC196624 QAG196624 PQK196624 PGO196624 OWS196624 OMW196624 ODA196624 NTE196624 NJI196624 MZM196624 MPQ196624 MFU196624 LVY196624 LMC196624 LCG196624 KSK196624 KIO196624 JYS196624 JOW196624 JFA196624 IVE196624 ILI196624 IBM196624 HRQ196624 HHU196624 GXY196624 GOC196624 GEG196624 FUK196624 FKO196624 FAS196624 EQW196624 EHA196624 DXE196624 DNI196624 DDM196624 CTQ196624 CJU196624 BZY196624 BQC196624 BGG196624 AWK196624 AMO196624 ACS196624 SW196624 JA196624 WVM131088 WLQ131088 WBU131088 VRY131088 VIC131088 UYG131088 UOK131088 UEO131088 TUS131088 TKW131088 TBA131088 SRE131088 SHI131088 RXM131088 RNQ131088 RDU131088 QTY131088 QKC131088 QAG131088 PQK131088 PGO131088 OWS131088 OMW131088 ODA131088 NTE131088 NJI131088 MZM131088 MPQ131088 MFU131088 LVY131088 LMC131088 LCG131088 KSK131088 KIO131088 JYS131088 JOW131088 JFA131088 IVE131088 ILI131088 IBM131088 HRQ131088 HHU131088 GXY131088 GOC131088 GEG131088 FUK131088 FKO131088 FAS131088 EQW131088 EHA131088 DXE131088 DNI131088 DDM131088 CTQ131088 CJU131088 BZY131088 BQC131088 BGG131088 AWK131088 AMO131088 ACS131088 SW131088 JA131088 WVM65552 WLQ65552 WBU65552 VRY65552 VIC65552 UYG65552 UOK65552 UEO65552 TUS65552 TKW65552 TBA65552 SRE65552 SHI65552 RXM65552 RNQ65552 RDU65552 QTY65552 QKC65552 QAG65552 PQK65552 PGO65552 OWS65552 OMW65552 ODA65552 NTE65552 NJI65552 MZM65552 MPQ65552 MFU65552 LVY65552 LMC65552 LCG65552 KSK65552 KIO65552 JYS65552 JOW65552 JFA65552 IVE65552 ILI65552 IBM65552 HRQ65552 HHU65552 GXY65552 GOC65552 GEG65552 FUK65552 FKO65552 FAS65552 EQW65552 EHA65552 DXE65552 DNI65552 DDM65552 CTQ65552 CJU65552 BZY65552 BQC65552 BGG65552 AWK65552 AMO65552 ACS65552 SW65552 JA65552">
      <formula1>5000</formula1>
      <formula2>500000</formula2>
    </dataValidation>
    <dataValidation type="decimal" allowBlank="1" showInputMessage="1" showErrorMessage="1" errorTitle="Invalid Input" error="Enter a value between 0 and 2000." sqref="D65546 WVM14 WLQ14 WBU14 VRY14 VIC14 UYG14 UOK14 UEO14 TUS14 TKW14 TBA14 SRE14 SHI14 RXM14 RNQ14 RDU14 QTY14 QKC14 QAG14 PQK14 PGO14 OWS14 OMW14 ODA14 NTE14 NJI14 MZM14 MPQ14 MFU14 LVY14 LMC14 LCG14 KSK14 KIO14 JYS14 JOW14 JFA14 IVE14 ILI14 IBM14 HRQ14 HHU14 GXY14 GOC14 GEG14 FUK14 FKO14 FAS14 EQW14 EHA14 DXE14 DNI14 DDM14 CTQ14 CJU14 BZY14 BQC14 BGG14 AWK14 AMO14 ACS14 SW14 JA14 D14 D131082 D196618 D262154 D327690 D393226 D458762 D524298 D589834 D655370 D720906 D786442 D851978 D917514 D983050 WVM983051 WLQ983051 WBU983051 VRY983051 VIC983051 UYG983051 UOK983051 UEO983051 TUS983051 TKW983051 TBA983051 SRE983051 SHI983051 RXM983051 RNQ983051 RDU983051 QTY983051 QKC983051 QAG983051 PQK983051 PGO983051 OWS983051 OMW983051 ODA983051 NTE983051 NJI983051 MZM983051 MPQ983051 MFU983051 LVY983051 LMC983051 LCG983051 KSK983051 KIO983051 JYS983051 JOW983051 JFA983051 IVE983051 ILI983051 IBM983051 HRQ983051 HHU983051 GXY983051 GOC983051 GEG983051 FUK983051 FKO983051 FAS983051 EQW983051 EHA983051 DXE983051 DNI983051 DDM983051 CTQ983051 CJU983051 BZY983051 BQC983051 BGG983051 AWK983051 AMO983051 ACS983051 SW983051 JA983051 WVM917515 WLQ917515 WBU917515 VRY917515 VIC917515 UYG917515 UOK917515 UEO917515 TUS917515 TKW917515 TBA917515 SRE917515 SHI917515 RXM917515 RNQ917515 RDU917515 QTY917515 QKC917515 QAG917515 PQK917515 PGO917515 OWS917515 OMW917515 ODA917515 NTE917515 NJI917515 MZM917515 MPQ917515 MFU917515 LVY917515 LMC917515 LCG917515 KSK917515 KIO917515 JYS917515 JOW917515 JFA917515 IVE917515 ILI917515 IBM917515 HRQ917515 HHU917515 GXY917515 GOC917515 GEG917515 FUK917515 FKO917515 FAS917515 EQW917515 EHA917515 DXE917515 DNI917515 DDM917515 CTQ917515 CJU917515 BZY917515 BQC917515 BGG917515 AWK917515 AMO917515 ACS917515 SW917515 JA917515 WVM851979 WLQ851979 WBU851979 VRY851979 VIC851979 UYG851979 UOK851979 UEO851979 TUS851979 TKW851979 TBA851979 SRE851979 SHI851979 RXM851979 RNQ851979 RDU851979 QTY851979 QKC851979 QAG851979 PQK851979 PGO851979 OWS851979 OMW851979 ODA851979 NTE851979 NJI851979 MZM851979 MPQ851979 MFU851979 LVY851979 LMC851979 LCG851979 KSK851979 KIO851979 JYS851979 JOW851979 JFA851979 IVE851979 ILI851979 IBM851979 HRQ851979 HHU851979 GXY851979 GOC851979 GEG851979 FUK851979 FKO851979 FAS851979 EQW851979 EHA851979 DXE851979 DNI851979 DDM851979 CTQ851979 CJU851979 BZY851979 BQC851979 BGG851979 AWK851979 AMO851979 ACS851979 SW851979 JA851979 WVM786443 WLQ786443 WBU786443 VRY786443 VIC786443 UYG786443 UOK786443 UEO786443 TUS786443 TKW786443 TBA786443 SRE786443 SHI786443 RXM786443 RNQ786443 RDU786443 QTY786443 QKC786443 QAG786443 PQK786443 PGO786443 OWS786443 OMW786443 ODA786443 NTE786443 NJI786443 MZM786443 MPQ786443 MFU786443 LVY786443 LMC786443 LCG786443 KSK786443 KIO786443 JYS786443 JOW786443 JFA786443 IVE786443 ILI786443 IBM786443 HRQ786443 HHU786443 GXY786443 GOC786443 GEG786443 FUK786443 FKO786443 FAS786443 EQW786443 EHA786443 DXE786443 DNI786443 DDM786443 CTQ786443 CJU786443 BZY786443 BQC786443 BGG786443 AWK786443 AMO786443 ACS786443 SW786443 JA786443 WVM720907 WLQ720907 WBU720907 VRY720907 VIC720907 UYG720907 UOK720907 UEO720907 TUS720907 TKW720907 TBA720907 SRE720907 SHI720907 RXM720907 RNQ720907 RDU720907 QTY720907 QKC720907 QAG720907 PQK720907 PGO720907 OWS720907 OMW720907 ODA720907 NTE720907 NJI720907 MZM720907 MPQ720907 MFU720907 LVY720907 LMC720907 LCG720907 KSK720907 KIO720907 JYS720907 JOW720907 JFA720907 IVE720907 ILI720907 IBM720907 HRQ720907 HHU720907 GXY720907 GOC720907 GEG720907 FUK720907 FKO720907 FAS720907 EQW720907 EHA720907 DXE720907 DNI720907 DDM720907 CTQ720907 CJU720907 BZY720907 BQC720907 BGG720907 AWK720907 AMO720907 ACS720907 SW720907 JA720907 WVM655371 WLQ655371 WBU655371 VRY655371 VIC655371 UYG655371 UOK655371 UEO655371 TUS655371 TKW655371 TBA655371 SRE655371 SHI655371 RXM655371 RNQ655371 RDU655371 QTY655371 QKC655371 QAG655371 PQK655371 PGO655371 OWS655371 OMW655371 ODA655371 NTE655371 NJI655371 MZM655371 MPQ655371 MFU655371 LVY655371 LMC655371 LCG655371 KSK655371 KIO655371 JYS655371 JOW655371 JFA655371 IVE655371 ILI655371 IBM655371 HRQ655371 HHU655371 GXY655371 GOC655371 GEG655371 FUK655371 FKO655371 FAS655371 EQW655371 EHA655371 DXE655371 DNI655371 DDM655371 CTQ655371 CJU655371 BZY655371 BQC655371 BGG655371 AWK655371 AMO655371 ACS655371 SW655371 JA655371 WVM589835 WLQ589835 WBU589835 VRY589835 VIC589835 UYG589835 UOK589835 UEO589835 TUS589835 TKW589835 TBA589835 SRE589835 SHI589835 RXM589835 RNQ589835 RDU589835 QTY589835 QKC589835 QAG589835 PQK589835 PGO589835 OWS589835 OMW589835 ODA589835 NTE589835 NJI589835 MZM589835 MPQ589835 MFU589835 LVY589835 LMC589835 LCG589835 KSK589835 KIO589835 JYS589835 JOW589835 JFA589835 IVE589835 ILI589835 IBM589835 HRQ589835 HHU589835 GXY589835 GOC589835 GEG589835 FUK589835 FKO589835 FAS589835 EQW589835 EHA589835 DXE589835 DNI589835 DDM589835 CTQ589835 CJU589835 BZY589835 BQC589835 BGG589835 AWK589835 AMO589835 ACS589835 SW589835 JA589835 WVM524299 WLQ524299 WBU524299 VRY524299 VIC524299 UYG524299 UOK524299 UEO524299 TUS524299 TKW524299 TBA524299 SRE524299 SHI524299 RXM524299 RNQ524299 RDU524299 QTY524299 QKC524299 QAG524299 PQK524299 PGO524299 OWS524299 OMW524299 ODA524299 NTE524299 NJI524299 MZM524299 MPQ524299 MFU524299 LVY524299 LMC524299 LCG524299 KSK524299 KIO524299 JYS524299 JOW524299 JFA524299 IVE524299 ILI524299 IBM524299 HRQ524299 HHU524299 GXY524299 GOC524299 GEG524299 FUK524299 FKO524299 FAS524299 EQW524299 EHA524299 DXE524299 DNI524299 DDM524299 CTQ524299 CJU524299 BZY524299 BQC524299 BGG524299 AWK524299 AMO524299 ACS524299 SW524299 JA524299 WVM458763 WLQ458763 WBU458763 VRY458763 VIC458763 UYG458763 UOK458763 UEO458763 TUS458763 TKW458763 TBA458763 SRE458763 SHI458763 RXM458763 RNQ458763 RDU458763 QTY458763 QKC458763 QAG458763 PQK458763 PGO458763 OWS458763 OMW458763 ODA458763 NTE458763 NJI458763 MZM458763 MPQ458763 MFU458763 LVY458763 LMC458763 LCG458763 KSK458763 KIO458763 JYS458763 JOW458763 JFA458763 IVE458763 ILI458763 IBM458763 HRQ458763 HHU458763 GXY458763 GOC458763 GEG458763 FUK458763 FKO458763 FAS458763 EQW458763 EHA458763 DXE458763 DNI458763 DDM458763 CTQ458763 CJU458763 BZY458763 BQC458763 BGG458763 AWK458763 AMO458763 ACS458763 SW458763 JA458763 WVM393227 WLQ393227 WBU393227 VRY393227 VIC393227 UYG393227 UOK393227 UEO393227 TUS393227 TKW393227 TBA393227 SRE393227 SHI393227 RXM393227 RNQ393227 RDU393227 QTY393227 QKC393227 QAG393227 PQK393227 PGO393227 OWS393227 OMW393227 ODA393227 NTE393227 NJI393227 MZM393227 MPQ393227 MFU393227 LVY393227 LMC393227 LCG393227 KSK393227 KIO393227 JYS393227 JOW393227 JFA393227 IVE393227 ILI393227 IBM393227 HRQ393227 HHU393227 GXY393227 GOC393227 GEG393227 FUK393227 FKO393227 FAS393227 EQW393227 EHA393227 DXE393227 DNI393227 DDM393227 CTQ393227 CJU393227 BZY393227 BQC393227 BGG393227 AWK393227 AMO393227 ACS393227 SW393227 JA393227 WVM327691 WLQ327691 WBU327691 VRY327691 VIC327691 UYG327691 UOK327691 UEO327691 TUS327691 TKW327691 TBA327691 SRE327691 SHI327691 RXM327691 RNQ327691 RDU327691 QTY327691 QKC327691 QAG327691 PQK327691 PGO327691 OWS327691 OMW327691 ODA327691 NTE327691 NJI327691 MZM327691 MPQ327691 MFU327691 LVY327691 LMC327691 LCG327691 KSK327691 KIO327691 JYS327691 JOW327691 JFA327691 IVE327691 ILI327691 IBM327691 HRQ327691 HHU327691 GXY327691 GOC327691 GEG327691 FUK327691 FKO327691 FAS327691 EQW327691 EHA327691 DXE327691 DNI327691 DDM327691 CTQ327691 CJU327691 BZY327691 BQC327691 BGG327691 AWK327691 AMO327691 ACS327691 SW327691 JA327691 WVM262155 WLQ262155 WBU262155 VRY262155 VIC262155 UYG262155 UOK262155 UEO262155 TUS262155 TKW262155 TBA262155 SRE262155 SHI262155 RXM262155 RNQ262155 RDU262155 QTY262155 QKC262155 QAG262155 PQK262155 PGO262155 OWS262155 OMW262155 ODA262155 NTE262155 NJI262155 MZM262155 MPQ262155 MFU262155 LVY262155 LMC262155 LCG262155 KSK262155 KIO262155 JYS262155 JOW262155 JFA262155 IVE262155 ILI262155 IBM262155 HRQ262155 HHU262155 GXY262155 GOC262155 GEG262155 FUK262155 FKO262155 FAS262155 EQW262155 EHA262155 DXE262155 DNI262155 DDM262155 CTQ262155 CJU262155 BZY262155 BQC262155 BGG262155 AWK262155 AMO262155 ACS262155 SW262155 JA262155 WVM196619 WLQ196619 WBU196619 VRY196619 VIC196619 UYG196619 UOK196619 UEO196619 TUS196619 TKW196619 TBA196619 SRE196619 SHI196619 RXM196619 RNQ196619 RDU196619 QTY196619 QKC196619 QAG196619 PQK196619 PGO196619 OWS196619 OMW196619 ODA196619 NTE196619 NJI196619 MZM196619 MPQ196619 MFU196619 LVY196619 LMC196619 LCG196619 KSK196619 KIO196619 JYS196619 JOW196619 JFA196619 IVE196619 ILI196619 IBM196619 HRQ196619 HHU196619 GXY196619 GOC196619 GEG196619 FUK196619 FKO196619 FAS196619 EQW196619 EHA196619 DXE196619 DNI196619 DDM196619 CTQ196619 CJU196619 BZY196619 BQC196619 BGG196619 AWK196619 AMO196619 ACS196619 SW196619 JA196619 WVM131083 WLQ131083 WBU131083 VRY131083 VIC131083 UYG131083 UOK131083 UEO131083 TUS131083 TKW131083 TBA131083 SRE131083 SHI131083 RXM131083 RNQ131083 RDU131083 QTY131083 QKC131083 QAG131083 PQK131083 PGO131083 OWS131083 OMW131083 ODA131083 NTE131083 NJI131083 MZM131083 MPQ131083 MFU131083 LVY131083 LMC131083 LCG131083 KSK131083 KIO131083 JYS131083 JOW131083 JFA131083 IVE131083 ILI131083 IBM131083 HRQ131083 HHU131083 GXY131083 GOC131083 GEG131083 FUK131083 FKO131083 FAS131083 EQW131083 EHA131083 DXE131083 DNI131083 DDM131083 CTQ131083 CJU131083 BZY131083 BQC131083 BGG131083 AWK131083 AMO131083 ACS131083 SW131083 JA131083 WVM65547 WLQ65547 WBU65547 VRY65547 VIC65547 UYG65547 UOK65547 UEO65547 TUS65547 TKW65547 TBA65547 SRE65547 SHI65547 RXM65547 RNQ65547 RDU65547 QTY65547 QKC65547 QAG65547 PQK65547 PGO65547 OWS65547 OMW65547 ODA65547 NTE65547 NJI65547 MZM65547 MPQ65547 MFU65547 LVY65547 LMC65547 LCG65547 KSK65547 KIO65547 JYS65547 JOW65547 JFA65547 IVE65547 ILI65547 IBM65547 HRQ65547 HHU65547 GXY65547 GOC65547 GEG65547 FUK65547 FKO65547 FAS65547 EQW65547 EHA65547 DXE65547 DNI65547 DDM65547 CTQ65547 CJU65547 BZY65547 BQC65547 BGG65547 AWK65547 AMO65547 ACS65547 SW65547 JA65547">
      <formula1>0</formula1>
      <formula2>2000</formula2>
    </dataValidation>
    <dataValidation type="decimal" showInputMessage="1" showErrorMessage="1" errorTitle="Invalid Input" error="Enter a value between 15 and 1000." sqref="D65543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JA11 D131079 D196615 D262151 D327687 D393223 D458759 D524295 D589831 D655367 D720903 D786439 D851975 D917511 D983047 WLQ983048 WBU983048 VRY983048 VIC983048 UYG983048 UOK983048 UEO983048 TUS983048 TKW983048 TBA983048 SRE983048 SHI983048 RXM983048 RNQ983048 RDU983048 QTY983048 QKC983048 QAG983048 PQK983048 PGO983048 OWS983048 OMW983048 ODA983048 NTE983048 NJI983048 MZM983048 MPQ983048 MFU983048 LVY983048 LMC983048 LCG983048 KSK983048 KIO983048 JYS983048 JOW983048 JFA983048 IVE983048 ILI983048 IBM983048 HRQ983048 HHU983048 GXY983048 GOC983048 GEG983048 FUK983048 FKO983048 FAS983048 EQW983048 EHA983048 DXE983048 DNI983048 DDM983048 CTQ983048 CJU983048 BZY983048 BQC983048 BGG983048 AWK983048 AMO983048 ACS983048 SW983048 JA983048 WVM917512 WLQ917512 WBU917512 VRY917512 VIC917512 UYG917512 UOK917512 UEO917512 TUS917512 TKW917512 TBA917512 SRE917512 SHI917512 RXM917512 RNQ917512 RDU917512 QTY917512 QKC917512 QAG917512 PQK917512 PGO917512 OWS917512 OMW917512 ODA917512 NTE917512 NJI917512 MZM917512 MPQ917512 MFU917512 LVY917512 LMC917512 LCG917512 KSK917512 KIO917512 JYS917512 JOW917512 JFA917512 IVE917512 ILI917512 IBM917512 HRQ917512 HHU917512 GXY917512 GOC917512 GEG917512 FUK917512 FKO917512 FAS917512 EQW917512 EHA917512 DXE917512 DNI917512 DDM917512 CTQ917512 CJU917512 BZY917512 BQC917512 BGG917512 AWK917512 AMO917512 ACS917512 SW917512 JA917512 WVM851976 WLQ851976 WBU851976 VRY851976 VIC851976 UYG851976 UOK851976 UEO851976 TUS851976 TKW851976 TBA851976 SRE851976 SHI851976 RXM851976 RNQ851976 RDU851976 QTY851976 QKC851976 QAG851976 PQK851976 PGO851976 OWS851976 OMW851976 ODA851976 NTE851976 NJI851976 MZM851976 MPQ851976 MFU851976 LVY851976 LMC851976 LCG851976 KSK851976 KIO851976 JYS851976 JOW851976 JFA851976 IVE851976 ILI851976 IBM851976 HRQ851976 HHU851976 GXY851976 GOC851976 GEG851976 FUK851976 FKO851976 FAS851976 EQW851976 EHA851976 DXE851976 DNI851976 DDM851976 CTQ851976 CJU851976 BZY851976 BQC851976 BGG851976 AWK851976 AMO851976 ACS851976 SW851976 JA851976 WVM786440 WLQ786440 WBU786440 VRY786440 VIC786440 UYG786440 UOK786440 UEO786440 TUS786440 TKW786440 TBA786440 SRE786440 SHI786440 RXM786440 RNQ786440 RDU786440 QTY786440 QKC786440 QAG786440 PQK786440 PGO786440 OWS786440 OMW786440 ODA786440 NTE786440 NJI786440 MZM786440 MPQ786440 MFU786440 LVY786440 LMC786440 LCG786440 KSK786440 KIO786440 JYS786440 JOW786440 JFA786440 IVE786440 ILI786440 IBM786440 HRQ786440 HHU786440 GXY786440 GOC786440 GEG786440 FUK786440 FKO786440 FAS786440 EQW786440 EHA786440 DXE786440 DNI786440 DDM786440 CTQ786440 CJU786440 BZY786440 BQC786440 BGG786440 AWK786440 AMO786440 ACS786440 SW786440 JA786440 WVM720904 WLQ720904 WBU720904 VRY720904 VIC720904 UYG720904 UOK720904 UEO720904 TUS720904 TKW720904 TBA720904 SRE720904 SHI720904 RXM720904 RNQ720904 RDU720904 QTY720904 QKC720904 QAG720904 PQK720904 PGO720904 OWS720904 OMW720904 ODA720904 NTE720904 NJI720904 MZM720904 MPQ720904 MFU720904 LVY720904 LMC720904 LCG720904 KSK720904 KIO720904 JYS720904 JOW720904 JFA720904 IVE720904 ILI720904 IBM720904 HRQ720904 HHU720904 GXY720904 GOC720904 GEG720904 FUK720904 FKO720904 FAS720904 EQW720904 EHA720904 DXE720904 DNI720904 DDM720904 CTQ720904 CJU720904 BZY720904 BQC720904 BGG720904 AWK720904 AMO720904 ACS720904 SW720904 JA720904 WVM655368 WLQ655368 WBU655368 VRY655368 VIC655368 UYG655368 UOK655368 UEO655368 TUS655368 TKW655368 TBA655368 SRE655368 SHI655368 RXM655368 RNQ655368 RDU655368 QTY655368 QKC655368 QAG655368 PQK655368 PGO655368 OWS655368 OMW655368 ODA655368 NTE655368 NJI655368 MZM655368 MPQ655368 MFU655368 LVY655368 LMC655368 LCG655368 KSK655368 KIO655368 JYS655368 JOW655368 JFA655368 IVE655368 ILI655368 IBM655368 HRQ655368 HHU655368 GXY655368 GOC655368 GEG655368 FUK655368 FKO655368 FAS655368 EQW655368 EHA655368 DXE655368 DNI655368 DDM655368 CTQ655368 CJU655368 BZY655368 BQC655368 BGG655368 AWK655368 AMO655368 ACS655368 SW655368 JA655368 WVM589832 WLQ589832 WBU589832 VRY589832 VIC589832 UYG589832 UOK589832 UEO589832 TUS589832 TKW589832 TBA589832 SRE589832 SHI589832 RXM589832 RNQ589832 RDU589832 QTY589832 QKC589832 QAG589832 PQK589832 PGO589832 OWS589832 OMW589832 ODA589832 NTE589832 NJI589832 MZM589832 MPQ589832 MFU589832 LVY589832 LMC589832 LCG589832 KSK589832 KIO589832 JYS589832 JOW589832 JFA589832 IVE589832 ILI589832 IBM589832 HRQ589832 HHU589832 GXY589832 GOC589832 GEG589832 FUK589832 FKO589832 FAS589832 EQW589832 EHA589832 DXE589832 DNI589832 DDM589832 CTQ589832 CJU589832 BZY589832 BQC589832 BGG589832 AWK589832 AMO589832 ACS589832 SW589832 JA589832 WVM524296 WLQ524296 WBU524296 VRY524296 VIC524296 UYG524296 UOK524296 UEO524296 TUS524296 TKW524296 TBA524296 SRE524296 SHI524296 RXM524296 RNQ524296 RDU524296 QTY524296 QKC524296 QAG524296 PQK524296 PGO524296 OWS524296 OMW524296 ODA524296 NTE524296 NJI524296 MZM524296 MPQ524296 MFU524296 LVY524296 LMC524296 LCG524296 KSK524296 KIO524296 JYS524296 JOW524296 JFA524296 IVE524296 ILI524296 IBM524296 HRQ524296 HHU524296 GXY524296 GOC524296 GEG524296 FUK524296 FKO524296 FAS524296 EQW524296 EHA524296 DXE524296 DNI524296 DDM524296 CTQ524296 CJU524296 BZY524296 BQC524296 BGG524296 AWK524296 AMO524296 ACS524296 SW524296 JA524296 WVM458760 WLQ458760 WBU458760 VRY458760 VIC458760 UYG458760 UOK458760 UEO458760 TUS458760 TKW458760 TBA458760 SRE458760 SHI458760 RXM458760 RNQ458760 RDU458760 QTY458760 QKC458760 QAG458760 PQK458760 PGO458760 OWS458760 OMW458760 ODA458760 NTE458760 NJI458760 MZM458760 MPQ458760 MFU458760 LVY458760 LMC458760 LCG458760 KSK458760 KIO458760 JYS458760 JOW458760 JFA458760 IVE458760 ILI458760 IBM458760 HRQ458760 HHU458760 GXY458760 GOC458760 GEG458760 FUK458760 FKO458760 FAS458760 EQW458760 EHA458760 DXE458760 DNI458760 DDM458760 CTQ458760 CJU458760 BZY458760 BQC458760 BGG458760 AWK458760 AMO458760 ACS458760 SW458760 JA458760 WVM393224 WLQ393224 WBU393224 VRY393224 VIC393224 UYG393224 UOK393224 UEO393224 TUS393224 TKW393224 TBA393224 SRE393224 SHI393224 RXM393224 RNQ393224 RDU393224 QTY393224 QKC393224 QAG393224 PQK393224 PGO393224 OWS393224 OMW393224 ODA393224 NTE393224 NJI393224 MZM393224 MPQ393224 MFU393224 LVY393224 LMC393224 LCG393224 KSK393224 KIO393224 JYS393224 JOW393224 JFA393224 IVE393224 ILI393224 IBM393224 HRQ393224 HHU393224 GXY393224 GOC393224 GEG393224 FUK393224 FKO393224 FAS393224 EQW393224 EHA393224 DXE393224 DNI393224 DDM393224 CTQ393224 CJU393224 BZY393224 BQC393224 BGG393224 AWK393224 AMO393224 ACS393224 SW393224 JA393224 WVM327688 WLQ327688 WBU327688 VRY327688 VIC327688 UYG327688 UOK327688 UEO327688 TUS327688 TKW327688 TBA327688 SRE327688 SHI327688 RXM327688 RNQ327688 RDU327688 QTY327688 QKC327688 QAG327688 PQK327688 PGO327688 OWS327688 OMW327688 ODA327688 NTE327688 NJI327688 MZM327688 MPQ327688 MFU327688 LVY327688 LMC327688 LCG327688 KSK327688 KIO327688 JYS327688 JOW327688 JFA327688 IVE327688 ILI327688 IBM327688 HRQ327688 HHU327688 GXY327688 GOC327688 GEG327688 FUK327688 FKO327688 FAS327688 EQW327688 EHA327688 DXE327688 DNI327688 DDM327688 CTQ327688 CJU327688 BZY327688 BQC327688 BGG327688 AWK327688 AMO327688 ACS327688 SW327688 JA327688 WVM262152 WLQ262152 WBU262152 VRY262152 VIC262152 UYG262152 UOK262152 UEO262152 TUS262152 TKW262152 TBA262152 SRE262152 SHI262152 RXM262152 RNQ262152 RDU262152 QTY262152 QKC262152 QAG262152 PQK262152 PGO262152 OWS262152 OMW262152 ODA262152 NTE262152 NJI262152 MZM262152 MPQ262152 MFU262152 LVY262152 LMC262152 LCG262152 KSK262152 KIO262152 JYS262152 JOW262152 JFA262152 IVE262152 ILI262152 IBM262152 HRQ262152 HHU262152 GXY262152 GOC262152 GEG262152 FUK262152 FKO262152 FAS262152 EQW262152 EHA262152 DXE262152 DNI262152 DDM262152 CTQ262152 CJU262152 BZY262152 BQC262152 BGG262152 AWK262152 AMO262152 ACS262152 SW262152 JA262152 WVM196616 WLQ196616 WBU196616 VRY196616 VIC196616 UYG196616 UOK196616 UEO196616 TUS196616 TKW196616 TBA196616 SRE196616 SHI196616 RXM196616 RNQ196616 RDU196616 QTY196616 QKC196616 QAG196616 PQK196616 PGO196616 OWS196616 OMW196616 ODA196616 NTE196616 NJI196616 MZM196616 MPQ196616 MFU196616 LVY196616 LMC196616 LCG196616 KSK196616 KIO196616 JYS196616 JOW196616 JFA196616 IVE196616 ILI196616 IBM196616 HRQ196616 HHU196616 GXY196616 GOC196616 GEG196616 FUK196616 FKO196616 FAS196616 EQW196616 EHA196616 DXE196616 DNI196616 DDM196616 CTQ196616 CJU196616 BZY196616 BQC196616 BGG196616 AWK196616 AMO196616 ACS196616 SW196616 JA196616 WVM131080 WLQ131080 WBU131080 VRY131080 VIC131080 UYG131080 UOK131080 UEO131080 TUS131080 TKW131080 TBA131080 SRE131080 SHI131080 RXM131080 RNQ131080 RDU131080 QTY131080 QKC131080 QAG131080 PQK131080 PGO131080 OWS131080 OMW131080 ODA131080 NTE131080 NJI131080 MZM131080 MPQ131080 MFU131080 LVY131080 LMC131080 LCG131080 KSK131080 KIO131080 JYS131080 JOW131080 JFA131080 IVE131080 ILI131080 IBM131080 HRQ131080 HHU131080 GXY131080 GOC131080 GEG131080 FUK131080 FKO131080 FAS131080 EQW131080 EHA131080 DXE131080 DNI131080 DDM131080 CTQ131080 CJU131080 BZY131080 BQC131080 BGG131080 AWK131080 AMO131080 ACS131080 SW131080 JA131080 WVM65544 WLQ65544 WBU65544 VRY65544 VIC65544 UYG65544 UOK65544 UEO65544 TUS65544 TKW65544 TBA65544 SRE65544 SHI65544 RXM65544 RNQ65544 RDU65544 QTY65544 QKC65544 QAG65544 PQK65544 PGO65544 OWS65544 OMW65544 ODA65544 NTE65544 NJI65544 MZM65544 MPQ65544 MFU65544 LVY65544 LMC65544 LCG65544 KSK65544 KIO65544 JYS65544 JOW65544 JFA65544 IVE65544 ILI65544 IBM65544 HRQ65544 HHU65544 GXY65544 GOC65544 GEG65544 FUK65544 FKO65544 FAS65544 EQW65544 EHA65544 DXE65544 DNI65544 DDM65544 CTQ65544 CJU65544 BZY65544 BQC65544 BGG65544 AWK65544 AMO65544 ACS65544 SW65544 JA65544 WVM983048">
      <formula1>15</formula1>
      <formula2>2000</formula2>
    </dataValidation>
    <dataValidation type="decimal" showInputMessage="1" showErrorMessage="1" errorTitle="Invalid Input" error="Enter a value between 0.5 and 1.0." sqref="D65544 WVM1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SW12 JA12 D12 D131080 D196616 D262152 D327688 D393224 D458760 D524296 D589832 D655368 D720904 D786440 D851976 D917512 D983048 WVM983049 WLQ983049 WBU983049 VRY983049 VIC983049 UYG983049 UOK983049 UEO983049 TUS983049 TKW983049 TBA983049 SRE983049 SHI983049 RXM983049 RNQ983049 RDU983049 QTY983049 QKC983049 QAG983049 PQK983049 PGO983049 OWS983049 OMW983049 ODA983049 NTE983049 NJI983049 MZM983049 MPQ983049 MFU983049 LVY983049 LMC983049 LCG983049 KSK983049 KIO983049 JYS983049 JOW983049 JFA983049 IVE983049 ILI983049 IBM983049 HRQ983049 HHU983049 GXY983049 GOC983049 GEG983049 FUK983049 FKO983049 FAS983049 EQW983049 EHA983049 DXE983049 DNI983049 DDM983049 CTQ983049 CJU983049 BZY983049 BQC983049 BGG983049 AWK983049 AMO983049 ACS983049 SW983049 JA983049 WVM917513 WLQ917513 WBU917513 VRY917513 VIC917513 UYG917513 UOK917513 UEO917513 TUS917513 TKW917513 TBA917513 SRE917513 SHI917513 RXM917513 RNQ917513 RDU917513 QTY917513 QKC917513 QAG917513 PQK917513 PGO917513 OWS917513 OMW917513 ODA917513 NTE917513 NJI917513 MZM917513 MPQ917513 MFU917513 LVY917513 LMC917513 LCG917513 KSK917513 KIO917513 JYS917513 JOW917513 JFA917513 IVE917513 ILI917513 IBM917513 HRQ917513 HHU917513 GXY917513 GOC917513 GEG917513 FUK917513 FKO917513 FAS917513 EQW917513 EHA917513 DXE917513 DNI917513 DDM917513 CTQ917513 CJU917513 BZY917513 BQC917513 BGG917513 AWK917513 AMO917513 ACS917513 SW917513 JA917513 WVM851977 WLQ851977 WBU851977 VRY851977 VIC851977 UYG851977 UOK851977 UEO851977 TUS851977 TKW851977 TBA851977 SRE851977 SHI851977 RXM851977 RNQ851977 RDU851977 QTY851977 QKC851977 QAG851977 PQK851977 PGO851977 OWS851977 OMW851977 ODA851977 NTE851977 NJI851977 MZM851977 MPQ851977 MFU851977 LVY851977 LMC851977 LCG851977 KSK851977 KIO851977 JYS851977 JOW851977 JFA851977 IVE851977 ILI851977 IBM851977 HRQ851977 HHU851977 GXY851977 GOC851977 GEG851977 FUK851977 FKO851977 FAS851977 EQW851977 EHA851977 DXE851977 DNI851977 DDM851977 CTQ851977 CJU851977 BZY851977 BQC851977 BGG851977 AWK851977 AMO851977 ACS851977 SW851977 JA851977 WVM786441 WLQ786441 WBU786441 VRY786441 VIC786441 UYG786441 UOK786441 UEO786441 TUS786441 TKW786441 TBA786441 SRE786441 SHI786441 RXM786441 RNQ786441 RDU786441 QTY786441 QKC786441 QAG786441 PQK786441 PGO786441 OWS786441 OMW786441 ODA786441 NTE786441 NJI786441 MZM786441 MPQ786441 MFU786441 LVY786441 LMC786441 LCG786441 KSK786441 KIO786441 JYS786441 JOW786441 JFA786441 IVE786441 ILI786441 IBM786441 HRQ786441 HHU786441 GXY786441 GOC786441 GEG786441 FUK786441 FKO786441 FAS786441 EQW786441 EHA786441 DXE786441 DNI786441 DDM786441 CTQ786441 CJU786441 BZY786441 BQC786441 BGG786441 AWK786441 AMO786441 ACS786441 SW786441 JA786441 WVM720905 WLQ720905 WBU720905 VRY720905 VIC720905 UYG720905 UOK720905 UEO720905 TUS720905 TKW720905 TBA720905 SRE720905 SHI720905 RXM720905 RNQ720905 RDU720905 QTY720905 QKC720905 QAG720905 PQK720905 PGO720905 OWS720905 OMW720905 ODA720905 NTE720905 NJI720905 MZM720905 MPQ720905 MFU720905 LVY720905 LMC720905 LCG720905 KSK720905 KIO720905 JYS720905 JOW720905 JFA720905 IVE720905 ILI720905 IBM720905 HRQ720905 HHU720905 GXY720905 GOC720905 GEG720905 FUK720905 FKO720905 FAS720905 EQW720905 EHA720905 DXE720905 DNI720905 DDM720905 CTQ720905 CJU720905 BZY720905 BQC720905 BGG720905 AWK720905 AMO720905 ACS720905 SW720905 JA720905 WVM655369 WLQ655369 WBU655369 VRY655369 VIC655369 UYG655369 UOK655369 UEO655369 TUS655369 TKW655369 TBA655369 SRE655369 SHI655369 RXM655369 RNQ655369 RDU655369 QTY655369 QKC655369 QAG655369 PQK655369 PGO655369 OWS655369 OMW655369 ODA655369 NTE655369 NJI655369 MZM655369 MPQ655369 MFU655369 LVY655369 LMC655369 LCG655369 KSK655369 KIO655369 JYS655369 JOW655369 JFA655369 IVE655369 ILI655369 IBM655369 HRQ655369 HHU655369 GXY655369 GOC655369 GEG655369 FUK655369 FKO655369 FAS655369 EQW655369 EHA655369 DXE655369 DNI655369 DDM655369 CTQ655369 CJU655369 BZY655369 BQC655369 BGG655369 AWK655369 AMO655369 ACS655369 SW655369 JA655369 WVM589833 WLQ589833 WBU589833 VRY589833 VIC589833 UYG589833 UOK589833 UEO589833 TUS589833 TKW589833 TBA589833 SRE589833 SHI589833 RXM589833 RNQ589833 RDU589833 QTY589833 QKC589833 QAG589833 PQK589833 PGO589833 OWS589833 OMW589833 ODA589833 NTE589833 NJI589833 MZM589833 MPQ589833 MFU589833 LVY589833 LMC589833 LCG589833 KSK589833 KIO589833 JYS589833 JOW589833 JFA589833 IVE589833 ILI589833 IBM589833 HRQ589833 HHU589833 GXY589833 GOC589833 GEG589833 FUK589833 FKO589833 FAS589833 EQW589833 EHA589833 DXE589833 DNI589833 DDM589833 CTQ589833 CJU589833 BZY589833 BQC589833 BGG589833 AWK589833 AMO589833 ACS589833 SW589833 JA589833 WVM524297 WLQ524297 WBU524297 VRY524297 VIC524297 UYG524297 UOK524297 UEO524297 TUS524297 TKW524297 TBA524297 SRE524297 SHI524297 RXM524297 RNQ524297 RDU524297 QTY524297 QKC524297 QAG524297 PQK524297 PGO524297 OWS524297 OMW524297 ODA524297 NTE524297 NJI524297 MZM524297 MPQ524297 MFU524297 LVY524297 LMC524297 LCG524297 KSK524297 KIO524297 JYS524297 JOW524297 JFA524297 IVE524297 ILI524297 IBM524297 HRQ524297 HHU524297 GXY524297 GOC524297 GEG524297 FUK524297 FKO524297 FAS524297 EQW524297 EHA524297 DXE524297 DNI524297 DDM524297 CTQ524297 CJU524297 BZY524297 BQC524297 BGG524297 AWK524297 AMO524297 ACS524297 SW524297 JA524297 WVM458761 WLQ458761 WBU458761 VRY458761 VIC458761 UYG458761 UOK458761 UEO458761 TUS458761 TKW458761 TBA458761 SRE458761 SHI458761 RXM458761 RNQ458761 RDU458761 QTY458761 QKC458761 QAG458761 PQK458761 PGO458761 OWS458761 OMW458761 ODA458761 NTE458761 NJI458761 MZM458761 MPQ458761 MFU458761 LVY458761 LMC458761 LCG458761 KSK458761 KIO458761 JYS458761 JOW458761 JFA458761 IVE458761 ILI458761 IBM458761 HRQ458761 HHU458761 GXY458761 GOC458761 GEG458761 FUK458761 FKO458761 FAS458761 EQW458761 EHA458761 DXE458761 DNI458761 DDM458761 CTQ458761 CJU458761 BZY458761 BQC458761 BGG458761 AWK458761 AMO458761 ACS458761 SW458761 JA458761 WVM393225 WLQ393225 WBU393225 VRY393225 VIC393225 UYG393225 UOK393225 UEO393225 TUS393225 TKW393225 TBA393225 SRE393225 SHI393225 RXM393225 RNQ393225 RDU393225 QTY393225 QKC393225 QAG393225 PQK393225 PGO393225 OWS393225 OMW393225 ODA393225 NTE393225 NJI393225 MZM393225 MPQ393225 MFU393225 LVY393225 LMC393225 LCG393225 KSK393225 KIO393225 JYS393225 JOW393225 JFA393225 IVE393225 ILI393225 IBM393225 HRQ393225 HHU393225 GXY393225 GOC393225 GEG393225 FUK393225 FKO393225 FAS393225 EQW393225 EHA393225 DXE393225 DNI393225 DDM393225 CTQ393225 CJU393225 BZY393225 BQC393225 BGG393225 AWK393225 AMO393225 ACS393225 SW393225 JA393225 WVM327689 WLQ327689 WBU327689 VRY327689 VIC327689 UYG327689 UOK327689 UEO327689 TUS327689 TKW327689 TBA327689 SRE327689 SHI327689 RXM327689 RNQ327689 RDU327689 QTY327689 QKC327689 QAG327689 PQK327689 PGO327689 OWS327689 OMW327689 ODA327689 NTE327689 NJI327689 MZM327689 MPQ327689 MFU327689 LVY327689 LMC327689 LCG327689 KSK327689 KIO327689 JYS327689 JOW327689 JFA327689 IVE327689 ILI327689 IBM327689 HRQ327689 HHU327689 GXY327689 GOC327689 GEG327689 FUK327689 FKO327689 FAS327689 EQW327689 EHA327689 DXE327689 DNI327689 DDM327689 CTQ327689 CJU327689 BZY327689 BQC327689 BGG327689 AWK327689 AMO327689 ACS327689 SW327689 JA327689 WVM262153 WLQ262153 WBU262153 VRY262153 VIC262153 UYG262153 UOK262153 UEO262153 TUS262153 TKW262153 TBA262153 SRE262153 SHI262153 RXM262153 RNQ262153 RDU262153 QTY262153 QKC262153 QAG262153 PQK262153 PGO262153 OWS262153 OMW262153 ODA262153 NTE262153 NJI262153 MZM262153 MPQ262153 MFU262153 LVY262153 LMC262153 LCG262153 KSK262153 KIO262153 JYS262153 JOW262153 JFA262153 IVE262153 ILI262153 IBM262153 HRQ262153 HHU262153 GXY262153 GOC262153 GEG262153 FUK262153 FKO262153 FAS262153 EQW262153 EHA262153 DXE262153 DNI262153 DDM262153 CTQ262153 CJU262153 BZY262153 BQC262153 BGG262153 AWK262153 AMO262153 ACS262153 SW262153 JA262153 WVM196617 WLQ196617 WBU196617 VRY196617 VIC196617 UYG196617 UOK196617 UEO196617 TUS196617 TKW196617 TBA196617 SRE196617 SHI196617 RXM196617 RNQ196617 RDU196617 QTY196617 QKC196617 QAG196617 PQK196617 PGO196617 OWS196617 OMW196617 ODA196617 NTE196617 NJI196617 MZM196617 MPQ196617 MFU196617 LVY196617 LMC196617 LCG196617 KSK196617 KIO196617 JYS196617 JOW196617 JFA196617 IVE196617 ILI196617 IBM196617 HRQ196617 HHU196617 GXY196617 GOC196617 GEG196617 FUK196617 FKO196617 FAS196617 EQW196617 EHA196617 DXE196617 DNI196617 DDM196617 CTQ196617 CJU196617 BZY196617 BQC196617 BGG196617 AWK196617 AMO196617 ACS196617 SW196617 JA196617 WVM131081 WLQ131081 WBU131081 VRY131081 VIC131081 UYG131081 UOK131081 UEO131081 TUS131081 TKW131081 TBA131081 SRE131081 SHI131081 RXM131081 RNQ131081 RDU131081 QTY131081 QKC131081 QAG131081 PQK131081 PGO131081 OWS131081 OMW131081 ODA131081 NTE131081 NJI131081 MZM131081 MPQ131081 MFU131081 LVY131081 LMC131081 LCG131081 KSK131081 KIO131081 JYS131081 JOW131081 JFA131081 IVE131081 ILI131081 IBM131081 HRQ131081 HHU131081 GXY131081 GOC131081 GEG131081 FUK131081 FKO131081 FAS131081 EQW131081 EHA131081 DXE131081 DNI131081 DDM131081 CTQ131081 CJU131081 BZY131081 BQC131081 BGG131081 AWK131081 AMO131081 ACS131081 SW131081 JA131081 WVM65545 WLQ65545 WBU65545 VRY65545 VIC65545 UYG65545 UOK65545 UEO65545 TUS65545 TKW65545 TBA65545 SRE65545 SHI65545 RXM65545 RNQ65545 RDU65545 QTY65545 QKC65545 QAG65545 PQK65545 PGO65545 OWS65545 OMW65545 ODA65545 NTE65545 NJI65545 MZM65545 MPQ65545 MFU65545 LVY65545 LMC65545 LCG65545 KSK65545 KIO65545 JYS65545 JOW65545 JFA65545 IVE65545 ILI65545 IBM65545 HRQ65545 HHU65545 GXY65545 GOC65545 GEG65545 FUK65545 FKO65545 FAS65545 EQW65545 EHA65545 DXE65545 DNI65545 DDM65545 CTQ65545 CJU65545 BZY65545 BQC65545 BGG65545 AWK65545 AMO65545 ACS65545 SW65545 JA65545">
      <formula1>0.5</formula1>
      <formula2>1</formula2>
    </dataValidation>
    <dataValidation type="list" showInputMessage="1" showErrorMessage="1" errorTitle="Invalid Data Entered" error="Please select either MAX15004 or MAX15005." sqref="D65538 WVM6 WLQ6 WBU6 VRY6 VIC6 UYG6 UOK6 UEO6 TUS6 TKW6 TBA6 SRE6 SHI6 RXM6 RNQ6 RDU6 QTY6 QKC6 QAG6 PQK6 PGO6 OWS6 OMW6 ODA6 NTE6 NJI6 MZM6 MPQ6 MFU6 LVY6 LMC6 LCG6 KSK6 KIO6 JYS6 JOW6 JFA6 IVE6 ILI6 IBM6 HRQ6 HHU6 GXY6 GOC6 GEG6 FUK6 FKO6 FAS6 EQW6 EHA6 DXE6 DNI6 DDM6 CTQ6 CJU6 BZY6 BQC6 BGG6 AWK6 AMO6 ACS6 SW6 JA6 D131074 D196610 D262146 D327682 D393218 D458754 D524290 D589826 D655362 D720898 D786434 D851970 D917506 D983042 WLQ983043 WBU983043 VRY983043 VIC983043 UYG983043 UOK983043 UEO983043 TUS983043 TKW983043 TBA983043 SRE983043 SHI983043 RXM983043 RNQ983043 RDU983043 QTY983043 QKC983043 QAG983043 PQK983043 PGO983043 OWS983043 OMW983043 ODA983043 NTE983043 NJI983043 MZM983043 MPQ983043 MFU983043 LVY983043 LMC983043 LCG983043 KSK983043 KIO983043 JYS983043 JOW983043 JFA983043 IVE983043 ILI983043 IBM983043 HRQ983043 HHU983043 GXY983043 GOC983043 GEG983043 FUK983043 FKO983043 FAS983043 EQW983043 EHA983043 DXE983043 DNI983043 DDM983043 CTQ983043 CJU983043 BZY983043 BQC983043 BGG983043 AWK983043 AMO983043 ACS983043 SW983043 JA983043 WVM917507 WLQ917507 WBU917507 VRY917507 VIC917507 UYG917507 UOK917507 UEO917507 TUS917507 TKW917507 TBA917507 SRE917507 SHI917507 RXM917507 RNQ917507 RDU917507 QTY917507 QKC917507 QAG917507 PQK917507 PGO917507 OWS917507 OMW917507 ODA917507 NTE917507 NJI917507 MZM917507 MPQ917507 MFU917507 LVY917507 LMC917507 LCG917507 KSK917507 KIO917507 JYS917507 JOW917507 JFA917507 IVE917507 ILI917507 IBM917507 HRQ917507 HHU917507 GXY917507 GOC917507 GEG917507 FUK917507 FKO917507 FAS917507 EQW917507 EHA917507 DXE917507 DNI917507 DDM917507 CTQ917507 CJU917507 BZY917507 BQC917507 BGG917507 AWK917507 AMO917507 ACS917507 SW917507 JA917507 WVM851971 WLQ851971 WBU851971 VRY851971 VIC851971 UYG851971 UOK851971 UEO851971 TUS851971 TKW851971 TBA851971 SRE851971 SHI851971 RXM851971 RNQ851971 RDU851971 QTY851971 QKC851971 QAG851971 PQK851971 PGO851971 OWS851971 OMW851971 ODA851971 NTE851971 NJI851971 MZM851971 MPQ851971 MFU851971 LVY851971 LMC851971 LCG851971 KSK851971 KIO851971 JYS851971 JOW851971 JFA851971 IVE851971 ILI851971 IBM851971 HRQ851971 HHU851971 GXY851971 GOC851971 GEG851971 FUK851971 FKO851971 FAS851971 EQW851971 EHA851971 DXE851971 DNI851971 DDM851971 CTQ851971 CJU851971 BZY851971 BQC851971 BGG851971 AWK851971 AMO851971 ACS851971 SW851971 JA851971 WVM786435 WLQ786435 WBU786435 VRY786435 VIC786435 UYG786435 UOK786435 UEO786435 TUS786435 TKW786435 TBA786435 SRE786435 SHI786435 RXM786435 RNQ786435 RDU786435 QTY786435 QKC786435 QAG786435 PQK786435 PGO786435 OWS786435 OMW786435 ODA786435 NTE786435 NJI786435 MZM786435 MPQ786435 MFU786435 LVY786435 LMC786435 LCG786435 KSK786435 KIO786435 JYS786435 JOW786435 JFA786435 IVE786435 ILI786435 IBM786435 HRQ786435 HHU786435 GXY786435 GOC786435 GEG786435 FUK786435 FKO786435 FAS786435 EQW786435 EHA786435 DXE786435 DNI786435 DDM786435 CTQ786435 CJU786435 BZY786435 BQC786435 BGG786435 AWK786435 AMO786435 ACS786435 SW786435 JA786435 WVM720899 WLQ720899 WBU720899 VRY720899 VIC720899 UYG720899 UOK720899 UEO720899 TUS720899 TKW720899 TBA720899 SRE720899 SHI720899 RXM720899 RNQ720899 RDU720899 QTY720899 QKC720899 QAG720899 PQK720899 PGO720899 OWS720899 OMW720899 ODA720899 NTE720899 NJI720899 MZM720899 MPQ720899 MFU720899 LVY720899 LMC720899 LCG720899 KSK720899 KIO720899 JYS720899 JOW720899 JFA720899 IVE720899 ILI720899 IBM720899 HRQ720899 HHU720899 GXY720899 GOC720899 GEG720899 FUK720899 FKO720899 FAS720899 EQW720899 EHA720899 DXE720899 DNI720899 DDM720899 CTQ720899 CJU720899 BZY720899 BQC720899 BGG720899 AWK720899 AMO720899 ACS720899 SW720899 JA720899 WVM655363 WLQ655363 WBU655363 VRY655363 VIC655363 UYG655363 UOK655363 UEO655363 TUS655363 TKW655363 TBA655363 SRE655363 SHI655363 RXM655363 RNQ655363 RDU655363 QTY655363 QKC655363 QAG655363 PQK655363 PGO655363 OWS655363 OMW655363 ODA655363 NTE655363 NJI655363 MZM655363 MPQ655363 MFU655363 LVY655363 LMC655363 LCG655363 KSK655363 KIO655363 JYS655363 JOW655363 JFA655363 IVE655363 ILI655363 IBM655363 HRQ655363 HHU655363 GXY655363 GOC655363 GEG655363 FUK655363 FKO655363 FAS655363 EQW655363 EHA655363 DXE655363 DNI655363 DDM655363 CTQ655363 CJU655363 BZY655363 BQC655363 BGG655363 AWK655363 AMO655363 ACS655363 SW655363 JA655363 WVM589827 WLQ589827 WBU589827 VRY589827 VIC589827 UYG589827 UOK589827 UEO589827 TUS589827 TKW589827 TBA589827 SRE589827 SHI589827 RXM589827 RNQ589827 RDU589827 QTY589827 QKC589827 QAG589827 PQK589827 PGO589827 OWS589827 OMW589827 ODA589827 NTE589827 NJI589827 MZM589827 MPQ589827 MFU589827 LVY589827 LMC589827 LCG589827 KSK589827 KIO589827 JYS589827 JOW589827 JFA589827 IVE589827 ILI589827 IBM589827 HRQ589827 HHU589827 GXY589827 GOC589827 GEG589827 FUK589827 FKO589827 FAS589827 EQW589827 EHA589827 DXE589827 DNI589827 DDM589827 CTQ589827 CJU589827 BZY589827 BQC589827 BGG589827 AWK589827 AMO589827 ACS589827 SW589827 JA589827 WVM524291 WLQ524291 WBU524291 VRY524291 VIC524291 UYG524291 UOK524291 UEO524291 TUS524291 TKW524291 TBA524291 SRE524291 SHI524291 RXM524291 RNQ524291 RDU524291 QTY524291 QKC524291 QAG524291 PQK524291 PGO524291 OWS524291 OMW524291 ODA524291 NTE524291 NJI524291 MZM524291 MPQ524291 MFU524291 LVY524291 LMC524291 LCG524291 KSK524291 KIO524291 JYS524291 JOW524291 JFA524291 IVE524291 ILI524291 IBM524291 HRQ524291 HHU524291 GXY524291 GOC524291 GEG524291 FUK524291 FKO524291 FAS524291 EQW524291 EHA524291 DXE524291 DNI524291 DDM524291 CTQ524291 CJU524291 BZY524291 BQC524291 BGG524291 AWK524291 AMO524291 ACS524291 SW524291 JA524291 WVM458755 WLQ458755 WBU458755 VRY458755 VIC458755 UYG458755 UOK458755 UEO458755 TUS458755 TKW458755 TBA458755 SRE458755 SHI458755 RXM458755 RNQ458755 RDU458755 QTY458755 QKC458755 QAG458755 PQK458755 PGO458755 OWS458755 OMW458755 ODA458755 NTE458755 NJI458755 MZM458755 MPQ458755 MFU458755 LVY458755 LMC458755 LCG458755 KSK458755 KIO458755 JYS458755 JOW458755 JFA458755 IVE458755 ILI458755 IBM458755 HRQ458755 HHU458755 GXY458755 GOC458755 GEG458755 FUK458755 FKO458755 FAS458755 EQW458755 EHA458755 DXE458755 DNI458755 DDM458755 CTQ458755 CJU458755 BZY458755 BQC458755 BGG458755 AWK458755 AMO458755 ACS458755 SW458755 JA458755 WVM393219 WLQ393219 WBU393219 VRY393219 VIC393219 UYG393219 UOK393219 UEO393219 TUS393219 TKW393219 TBA393219 SRE393219 SHI393219 RXM393219 RNQ393219 RDU393219 QTY393219 QKC393219 QAG393219 PQK393219 PGO393219 OWS393219 OMW393219 ODA393219 NTE393219 NJI393219 MZM393219 MPQ393219 MFU393219 LVY393219 LMC393219 LCG393219 KSK393219 KIO393219 JYS393219 JOW393219 JFA393219 IVE393219 ILI393219 IBM393219 HRQ393219 HHU393219 GXY393219 GOC393219 GEG393219 FUK393219 FKO393219 FAS393219 EQW393219 EHA393219 DXE393219 DNI393219 DDM393219 CTQ393219 CJU393219 BZY393219 BQC393219 BGG393219 AWK393219 AMO393219 ACS393219 SW393219 JA393219 WVM327683 WLQ327683 WBU327683 VRY327683 VIC327683 UYG327683 UOK327683 UEO327683 TUS327683 TKW327683 TBA327683 SRE327683 SHI327683 RXM327683 RNQ327683 RDU327683 QTY327683 QKC327683 QAG327683 PQK327683 PGO327683 OWS327683 OMW327683 ODA327683 NTE327683 NJI327683 MZM327683 MPQ327683 MFU327683 LVY327683 LMC327683 LCG327683 KSK327683 KIO327683 JYS327683 JOW327683 JFA327683 IVE327683 ILI327683 IBM327683 HRQ327683 HHU327683 GXY327683 GOC327683 GEG327683 FUK327683 FKO327683 FAS327683 EQW327683 EHA327683 DXE327683 DNI327683 DDM327683 CTQ327683 CJU327683 BZY327683 BQC327683 BGG327683 AWK327683 AMO327683 ACS327683 SW327683 JA327683 WVM262147 WLQ262147 WBU262147 VRY262147 VIC262147 UYG262147 UOK262147 UEO262147 TUS262147 TKW262147 TBA262147 SRE262147 SHI262147 RXM262147 RNQ262147 RDU262147 QTY262147 QKC262147 QAG262147 PQK262147 PGO262147 OWS262147 OMW262147 ODA262147 NTE262147 NJI262147 MZM262147 MPQ262147 MFU262147 LVY262147 LMC262147 LCG262147 KSK262147 KIO262147 JYS262147 JOW262147 JFA262147 IVE262147 ILI262147 IBM262147 HRQ262147 HHU262147 GXY262147 GOC262147 GEG262147 FUK262147 FKO262147 FAS262147 EQW262147 EHA262147 DXE262147 DNI262147 DDM262147 CTQ262147 CJU262147 BZY262147 BQC262147 BGG262147 AWK262147 AMO262147 ACS262147 SW262147 JA262147 WVM196611 WLQ196611 WBU196611 VRY196611 VIC196611 UYG196611 UOK196611 UEO196611 TUS196611 TKW196611 TBA196611 SRE196611 SHI196611 RXM196611 RNQ196611 RDU196611 QTY196611 QKC196611 QAG196611 PQK196611 PGO196611 OWS196611 OMW196611 ODA196611 NTE196611 NJI196611 MZM196611 MPQ196611 MFU196611 LVY196611 LMC196611 LCG196611 KSK196611 KIO196611 JYS196611 JOW196611 JFA196611 IVE196611 ILI196611 IBM196611 HRQ196611 HHU196611 GXY196611 GOC196611 GEG196611 FUK196611 FKO196611 FAS196611 EQW196611 EHA196611 DXE196611 DNI196611 DDM196611 CTQ196611 CJU196611 BZY196611 BQC196611 BGG196611 AWK196611 AMO196611 ACS196611 SW196611 JA196611 WVM131075 WLQ131075 WBU131075 VRY131075 VIC131075 UYG131075 UOK131075 UEO131075 TUS131075 TKW131075 TBA131075 SRE131075 SHI131075 RXM131075 RNQ131075 RDU131075 QTY131075 QKC131075 QAG131075 PQK131075 PGO131075 OWS131075 OMW131075 ODA131075 NTE131075 NJI131075 MZM131075 MPQ131075 MFU131075 LVY131075 LMC131075 LCG131075 KSK131075 KIO131075 JYS131075 JOW131075 JFA131075 IVE131075 ILI131075 IBM131075 HRQ131075 HHU131075 GXY131075 GOC131075 GEG131075 FUK131075 FKO131075 FAS131075 EQW131075 EHA131075 DXE131075 DNI131075 DDM131075 CTQ131075 CJU131075 BZY131075 BQC131075 BGG131075 AWK131075 AMO131075 ACS131075 SW131075 JA131075 WVM65539 WLQ65539 WBU65539 VRY65539 VIC65539 UYG65539 UOK65539 UEO65539 TUS65539 TKW65539 TBA65539 SRE65539 SHI65539 RXM65539 RNQ65539 RDU65539 QTY65539 QKC65539 QAG65539 PQK65539 PGO65539 OWS65539 OMW65539 ODA65539 NTE65539 NJI65539 MZM65539 MPQ65539 MFU65539 LVY65539 LMC65539 LCG65539 KSK65539 KIO65539 JYS65539 JOW65539 JFA65539 IVE65539 ILI65539 IBM65539 HRQ65539 HHU65539 GXY65539 GOC65539 GEG65539 FUK65539 FKO65539 FAS65539 EQW65539 EHA65539 DXE65539 DNI65539 DDM65539 CTQ65539 CJU65539 BZY65539 BQC65539 BGG65539 AWK65539 AMO65539 ACS65539 SW65539 JA65539 WVM983043">
      <formula1>"MAX15005,MAX15004"</formula1>
    </dataValidation>
    <dataValidation type="list" showInputMessage="1" showErrorMessage="1" errorTitle="Invalid Data Entered" error="Please select either MAX15004 or MAX15005." sqref="D6">
      <formula1>"MAX16990,MAX16992"</formula1>
    </dataValidation>
    <dataValidation type="decimal" errorStyle="warning" operator="greaterThan" allowBlank="1" showInputMessage="1" showErrorMessage="1" errorTitle="Min Duty cycle Out of Range" sqref="J6">
      <formula1>10</formula1>
    </dataValidation>
    <dataValidation showInputMessage="1" showErrorMessage="1" errorTitle="Invalid Input" error="Enter a value greater than Vin_max and less than 8*Vin_mn." sqref="D8"/>
    <dataValidation allowBlank="1" showInputMessage="1" showErrorMessage="1" errorTitle="Invalid Input" error="Enter a typical inductance value between Lmin and Lmax." sqref="D15"/>
    <dataValidation operator="greaterThanOrEqual" allowBlank="1" showInputMessage="1" showErrorMessage="1" errorTitle="Invalid Input" error="Enter a value greater than or equal to Ltyp" sqref="E15"/>
    <dataValidation allowBlank="1" showInputMessage="1" showErrorMessage="1" errorTitle="Invalid Input" error="Enter a value between Lc and Ltyp. " sqref="C15"/>
    <dataValidation allowBlank="1" showInputMessage="1" showErrorMessage="1" errorTitle="Invalid Input" error="Enter a value between Vin_typ and 40." sqref="E7"/>
    <dataValidation allowBlank="1" showInputMessage="1" showErrorMessage="1" errorTitle="Invalid Input" error="Enter a value between Vin_min and Vin_max." sqref="D7"/>
    <dataValidation allowBlank="1" showInputMessage="1" showErrorMessage="1" errorTitle="Invalid Input" error="Enter a value between 2.5V and Vin_typ." sqref="C7"/>
  </dataValidations>
  <pageMargins left="0.75" right="0.75" top="1" bottom="1" header="0.5" footer="0.5"/>
  <pageSetup scale="63" orientation="landscape" horizontalDpi="200" verticalDpi="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topLeftCell="A19" workbookViewId="0">
      <selection activeCell="A60" sqref="A60:XFD60"/>
    </sheetView>
  </sheetViews>
  <sheetFormatPr defaultRowHeight="12.75" x14ac:dyDescent="0.2"/>
  <cols>
    <col min="1" max="4" width="9.140625" style="38"/>
    <col min="5" max="5" width="10.5703125" style="38" customWidth="1"/>
    <col min="6" max="9" width="9.140625" style="38"/>
    <col min="10" max="10" width="12.42578125" style="38" bestFit="1" customWidth="1"/>
    <col min="11" max="262" width="9.140625" style="38"/>
    <col min="263" max="263" width="10.5703125" style="38" customWidth="1"/>
    <col min="264" max="518" width="9.140625" style="38"/>
    <col min="519" max="519" width="10.5703125" style="38" customWidth="1"/>
    <col min="520" max="774" width="9.140625" style="38"/>
    <col min="775" max="775" width="10.5703125" style="38" customWidth="1"/>
    <col min="776" max="1030" width="9.140625" style="38"/>
    <col min="1031" max="1031" width="10.5703125" style="38" customWidth="1"/>
    <col min="1032" max="1286" width="9.140625" style="38"/>
    <col min="1287" max="1287" width="10.5703125" style="38" customWidth="1"/>
    <col min="1288" max="1542" width="9.140625" style="38"/>
    <col min="1543" max="1543" width="10.5703125" style="38" customWidth="1"/>
    <col min="1544" max="1798" width="9.140625" style="38"/>
    <col min="1799" max="1799" width="10.5703125" style="38" customWidth="1"/>
    <col min="1800" max="2054" width="9.140625" style="38"/>
    <col min="2055" max="2055" width="10.5703125" style="38" customWidth="1"/>
    <col min="2056" max="2310" width="9.140625" style="38"/>
    <col min="2311" max="2311" width="10.5703125" style="38" customWidth="1"/>
    <col min="2312" max="2566" width="9.140625" style="38"/>
    <col min="2567" max="2567" width="10.5703125" style="38" customWidth="1"/>
    <col min="2568" max="2822" width="9.140625" style="38"/>
    <col min="2823" max="2823" width="10.5703125" style="38" customWidth="1"/>
    <col min="2824" max="3078" width="9.140625" style="38"/>
    <col min="3079" max="3079" width="10.5703125" style="38" customWidth="1"/>
    <col min="3080" max="3334" width="9.140625" style="38"/>
    <col min="3335" max="3335" width="10.5703125" style="38" customWidth="1"/>
    <col min="3336" max="3590" width="9.140625" style="38"/>
    <col min="3591" max="3591" width="10.5703125" style="38" customWidth="1"/>
    <col min="3592" max="3846" width="9.140625" style="38"/>
    <col min="3847" max="3847" width="10.5703125" style="38" customWidth="1"/>
    <col min="3848" max="4102" width="9.140625" style="38"/>
    <col min="4103" max="4103" width="10.5703125" style="38" customWidth="1"/>
    <col min="4104" max="4358" width="9.140625" style="38"/>
    <col min="4359" max="4359" width="10.5703125" style="38" customWidth="1"/>
    <col min="4360" max="4614" width="9.140625" style="38"/>
    <col min="4615" max="4615" width="10.5703125" style="38" customWidth="1"/>
    <col min="4616" max="4870" width="9.140625" style="38"/>
    <col min="4871" max="4871" width="10.5703125" style="38" customWidth="1"/>
    <col min="4872" max="5126" width="9.140625" style="38"/>
    <col min="5127" max="5127" width="10.5703125" style="38" customWidth="1"/>
    <col min="5128" max="5382" width="9.140625" style="38"/>
    <col min="5383" max="5383" width="10.5703125" style="38" customWidth="1"/>
    <col min="5384" max="5638" width="9.140625" style="38"/>
    <col min="5639" max="5639" width="10.5703125" style="38" customWidth="1"/>
    <col min="5640" max="5894" width="9.140625" style="38"/>
    <col min="5895" max="5895" width="10.5703125" style="38" customWidth="1"/>
    <col min="5896" max="6150" width="9.140625" style="38"/>
    <col min="6151" max="6151" width="10.5703125" style="38" customWidth="1"/>
    <col min="6152" max="6406" width="9.140625" style="38"/>
    <col min="6407" max="6407" width="10.5703125" style="38" customWidth="1"/>
    <col min="6408" max="6662" width="9.140625" style="38"/>
    <col min="6663" max="6663" width="10.5703125" style="38" customWidth="1"/>
    <col min="6664" max="6918" width="9.140625" style="38"/>
    <col min="6919" max="6919" width="10.5703125" style="38" customWidth="1"/>
    <col min="6920" max="7174" width="9.140625" style="38"/>
    <col min="7175" max="7175" width="10.5703125" style="38" customWidth="1"/>
    <col min="7176" max="7430" width="9.140625" style="38"/>
    <col min="7431" max="7431" width="10.5703125" style="38" customWidth="1"/>
    <col min="7432" max="7686" width="9.140625" style="38"/>
    <col min="7687" max="7687" width="10.5703125" style="38" customWidth="1"/>
    <col min="7688" max="7942" width="9.140625" style="38"/>
    <col min="7943" max="7943" width="10.5703125" style="38" customWidth="1"/>
    <col min="7944" max="8198" width="9.140625" style="38"/>
    <col min="8199" max="8199" width="10.5703125" style="38" customWidth="1"/>
    <col min="8200" max="8454" width="9.140625" style="38"/>
    <col min="8455" max="8455" width="10.5703125" style="38" customWidth="1"/>
    <col min="8456" max="8710" width="9.140625" style="38"/>
    <col min="8711" max="8711" width="10.5703125" style="38" customWidth="1"/>
    <col min="8712" max="8966" width="9.140625" style="38"/>
    <col min="8967" max="8967" width="10.5703125" style="38" customWidth="1"/>
    <col min="8968" max="9222" width="9.140625" style="38"/>
    <col min="9223" max="9223" width="10.5703125" style="38" customWidth="1"/>
    <col min="9224" max="9478" width="9.140625" style="38"/>
    <col min="9479" max="9479" width="10.5703125" style="38" customWidth="1"/>
    <col min="9480" max="9734" width="9.140625" style="38"/>
    <col min="9735" max="9735" width="10.5703125" style="38" customWidth="1"/>
    <col min="9736" max="9990" width="9.140625" style="38"/>
    <col min="9991" max="9991" width="10.5703125" style="38" customWidth="1"/>
    <col min="9992" max="10246" width="9.140625" style="38"/>
    <col min="10247" max="10247" width="10.5703125" style="38" customWidth="1"/>
    <col min="10248" max="10502" width="9.140625" style="38"/>
    <col min="10503" max="10503" width="10.5703125" style="38" customWidth="1"/>
    <col min="10504" max="10758" width="9.140625" style="38"/>
    <col min="10759" max="10759" width="10.5703125" style="38" customWidth="1"/>
    <col min="10760" max="11014" width="9.140625" style="38"/>
    <col min="11015" max="11015" width="10.5703125" style="38" customWidth="1"/>
    <col min="11016" max="11270" width="9.140625" style="38"/>
    <col min="11271" max="11271" width="10.5703125" style="38" customWidth="1"/>
    <col min="11272" max="11526" width="9.140625" style="38"/>
    <col min="11527" max="11527" width="10.5703125" style="38" customWidth="1"/>
    <col min="11528" max="11782" width="9.140625" style="38"/>
    <col min="11783" max="11783" width="10.5703125" style="38" customWidth="1"/>
    <col min="11784" max="12038" width="9.140625" style="38"/>
    <col min="12039" max="12039" width="10.5703125" style="38" customWidth="1"/>
    <col min="12040" max="12294" width="9.140625" style="38"/>
    <col min="12295" max="12295" width="10.5703125" style="38" customWidth="1"/>
    <col min="12296" max="12550" width="9.140625" style="38"/>
    <col min="12551" max="12551" width="10.5703125" style="38" customWidth="1"/>
    <col min="12552" max="12806" width="9.140625" style="38"/>
    <col min="12807" max="12807" width="10.5703125" style="38" customWidth="1"/>
    <col min="12808" max="13062" width="9.140625" style="38"/>
    <col min="13063" max="13063" width="10.5703125" style="38" customWidth="1"/>
    <col min="13064" max="13318" width="9.140625" style="38"/>
    <col min="13319" max="13319" width="10.5703125" style="38" customWidth="1"/>
    <col min="13320" max="13574" width="9.140625" style="38"/>
    <col min="13575" max="13575" width="10.5703125" style="38" customWidth="1"/>
    <col min="13576" max="13830" width="9.140625" style="38"/>
    <col min="13831" max="13831" width="10.5703125" style="38" customWidth="1"/>
    <col min="13832" max="14086" width="9.140625" style="38"/>
    <col min="14087" max="14087" width="10.5703125" style="38" customWidth="1"/>
    <col min="14088" max="14342" width="9.140625" style="38"/>
    <col min="14343" max="14343" width="10.5703125" style="38" customWidth="1"/>
    <col min="14344" max="14598" width="9.140625" style="38"/>
    <col min="14599" max="14599" width="10.5703125" style="38" customWidth="1"/>
    <col min="14600" max="14854" width="9.140625" style="38"/>
    <col min="14855" max="14855" width="10.5703125" style="38" customWidth="1"/>
    <col min="14856" max="15110" width="9.140625" style="38"/>
    <col min="15111" max="15111" width="10.5703125" style="38" customWidth="1"/>
    <col min="15112" max="15366" width="9.140625" style="38"/>
    <col min="15367" max="15367" width="10.5703125" style="38" customWidth="1"/>
    <col min="15368" max="15622" width="9.140625" style="38"/>
    <col min="15623" max="15623" width="10.5703125" style="38" customWidth="1"/>
    <col min="15624" max="15878" width="9.140625" style="38"/>
    <col min="15879" max="15879" width="10.5703125" style="38" customWidth="1"/>
    <col min="15880" max="16134" width="9.140625" style="38"/>
    <col min="16135" max="16135" width="10.5703125" style="38" customWidth="1"/>
    <col min="16136" max="16384" width="9.140625" style="38"/>
  </cols>
  <sheetData>
    <row r="1" spans="1:25" x14ac:dyDescent="0.2">
      <c r="A1" s="38" t="s">
        <v>64</v>
      </c>
      <c r="B1" s="93">
        <v>10</v>
      </c>
      <c r="C1" s="38" t="s">
        <v>81</v>
      </c>
    </row>
    <row r="2" spans="1:25" x14ac:dyDescent="0.2">
      <c r="A2" s="38" t="s">
        <v>65</v>
      </c>
      <c r="B2" s="93">
        <v>10000000</v>
      </c>
      <c r="C2" s="38" t="s">
        <v>81</v>
      </c>
    </row>
    <row r="3" spans="1:25" x14ac:dyDescent="0.2">
      <c r="A3" s="38" t="s">
        <v>94</v>
      </c>
      <c r="B3" s="38">
        <v>100</v>
      </c>
    </row>
    <row r="4" spans="1:25" x14ac:dyDescent="0.2">
      <c r="C4" s="177" t="s">
        <v>84</v>
      </c>
      <c r="D4" s="177"/>
      <c r="E4" s="177" t="s">
        <v>85</v>
      </c>
      <c r="F4" s="177"/>
      <c r="G4" s="177" t="s">
        <v>86</v>
      </c>
      <c r="H4" s="177"/>
      <c r="I4" s="177" t="s">
        <v>95</v>
      </c>
      <c r="J4" s="177"/>
      <c r="K4" s="181" t="s">
        <v>8</v>
      </c>
      <c r="L4" s="181"/>
      <c r="M4" s="178" t="s">
        <v>87</v>
      </c>
      <c r="N4" s="178"/>
      <c r="O4" s="177" t="s">
        <v>88</v>
      </c>
      <c r="P4" s="178"/>
      <c r="Q4" s="177" t="s">
        <v>89</v>
      </c>
      <c r="R4" s="178"/>
      <c r="S4" s="179" t="s">
        <v>96</v>
      </c>
      <c r="T4" s="179"/>
      <c r="U4" s="180" t="s">
        <v>97</v>
      </c>
      <c r="V4" s="180"/>
      <c r="W4" s="38" t="s">
        <v>98</v>
      </c>
      <c r="X4" s="38" t="s">
        <v>99</v>
      </c>
      <c r="Y4" s="38" t="s">
        <v>100</v>
      </c>
    </row>
    <row r="5" spans="1:25" x14ac:dyDescent="0.2">
      <c r="C5" s="38">
        <f>Fzesr</f>
        <v>169313.76924669716</v>
      </c>
      <c r="D5" s="38" t="s">
        <v>81</v>
      </c>
      <c r="E5" s="38">
        <f>Fzrhp</f>
        <v>259261.70915900505</v>
      </c>
      <c r="F5" s="38" t="s">
        <v>81</v>
      </c>
      <c r="G5" s="38">
        <f>Fpload</f>
        <v>1693.1376924669717</v>
      </c>
      <c r="H5" s="38" t="s">
        <v>81</v>
      </c>
      <c r="K5" s="94"/>
      <c r="L5" s="94"/>
      <c r="M5" s="38">
        <f>Fzea</f>
        <v>22575.169232892953</v>
      </c>
      <c r="N5" s="38" t="s">
        <v>81</v>
      </c>
      <c r="O5" s="38">
        <f>Fpea</f>
        <v>6.7705196139836916</v>
      </c>
      <c r="P5" s="38" t="s">
        <v>81</v>
      </c>
      <c r="Q5" s="38">
        <f>Fp2ea</f>
        <v>156081.06821061068</v>
      </c>
      <c r="R5" s="38" t="s">
        <v>81</v>
      </c>
      <c r="S5" s="95"/>
      <c r="T5" s="95"/>
      <c r="U5" s="96"/>
      <c r="V5" s="96"/>
      <c r="W5" s="38">
        <f>MIN(W7:W107)</f>
        <v>0.25745058818093636</v>
      </c>
      <c r="X5" s="38">
        <f>VLOOKUP(W5,W7:X107,2,FALSE)</f>
        <v>26302.679918953821</v>
      </c>
      <c r="Y5" s="38">
        <f>VLOOKUP(W5,W7:Y107,3,FALSE)</f>
        <v>-135.25354004344518</v>
      </c>
    </row>
    <row r="6" spans="1:25" x14ac:dyDescent="0.2">
      <c r="A6" s="38" t="s">
        <v>101</v>
      </c>
      <c r="B6" s="38" t="s">
        <v>102</v>
      </c>
      <c r="C6" s="38" t="s">
        <v>103</v>
      </c>
      <c r="D6" s="38" t="s">
        <v>104</v>
      </c>
      <c r="E6" s="38" t="s">
        <v>103</v>
      </c>
      <c r="F6" s="38" t="s">
        <v>104</v>
      </c>
      <c r="G6" s="38" t="s">
        <v>103</v>
      </c>
      <c r="H6" s="38" t="s">
        <v>104</v>
      </c>
      <c r="I6" s="38" t="s">
        <v>103</v>
      </c>
      <c r="J6" s="38" t="s">
        <v>104</v>
      </c>
      <c r="K6" s="94" t="s">
        <v>103</v>
      </c>
      <c r="L6" s="94" t="s">
        <v>104</v>
      </c>
      <c r="M6" s="38" t="s">
        <v>103</v>
      </c>
      <c r="N6" s="38" t="s">
        <v>104</v>
      </c>
      <c r="O6" s="38" t="s">
        <v>103</v>
      </c>
      <c r="P6" s="38" t="s">
        <v>104</v>
      </c>
      <c r="Q6" s="38" t="s">
        <v>103</v>
      </c>
      <c r="R6" s="38" t="s">
        <v>104</v>
      </c>
      <c r="S6" s="95" t="s">
        <v>103</v>
      </c>
      <c r="T6" s="95" t="s">
        <v>104</v>
      </c>
      <c r="U6" s="96" t="s">
        <v>103</v>
      </c>
      <c r="V6" s="96" t="s">
        <v>104</v>
      </c>
      <c r="W6" s="38" t="s">
        <v>103</v>
      </c>
      <c r="X6" s="38" t="s">
        <v>81</v>
      </c>
      <c r="Y6" s="38" t="s">
        <v>104</v>
      </c>
    </row>
    <row r="7" spans="1:25" x14ac:dyDescent="0.2">
      <c r="A7" s="38">
        <v>0</v>
      </c>
      <c r="B7" s="38">
        <f t="shared" ref="B7:B38" si="0">Fmn*10^(LOG(Fmx/Fmn)*1/N*A7)</f>
        <v>10</v>
      </c>
      <c r="C7" s="38">
        <f t="shared" ref="C7:C38" si="1">SQRT(1+(B7/Fzesr)^2)</f>
        <v>1.0000000017441564</v>
      </c>
      <c r="D7" s="38">
        <f t="shared" ref="D7:D38" si="2">DEGREES(ATAN2(1,B7/Fzesr))</f>
        <v>3.383999996065183E-3</v>
      </c>
      <c r="E7" s="38">
        <f t="shared" ref="E7:E38" si="3">SQRT(1+(B7/Fzrhp)^2)</f>
        <v>1.0000000007438634</v>
      </c>
      <c r="F7" s="38">
        <f t="shared" ref="F7:F38" si="4">DEGREES(ATAN2(1,-B7/Fzrhp))</f>
        <v>-2.2099591825775304E-3</v>
      </c>
      <c r="G7" s="38">
        <f t="shared" ref="G7:G38" si="5">SQRT(1+(B7/Fpload)^2)</f>
        <v>1.0000174414127962</v>
      </c>
      <c r="H7" s="38">
        <f t="shared" ref="H7:H38" si="6">DEGREES(ATAN2(1,B7/Fpload))</f>
        <v>0.3383960652653123</v>
      </c>
      <c r="I7" s="38">
        <f t="shared" ref="I7:I38" si="7">SQRT((1-(B7/(0.5*1000*F))^2)^2+(B7/(0.5*1000*F*Q))^2)</f>
        <v>0.99999999998739963</v>
      </c>
      <c r="J7" s="38">
        <f t="shared" ref="J7:J38" si="8">DEGREES(ATAN2((1-(B7/(0.5*1000*F))^2),(B7/(0.5*1000*F*Q))))</f>
        <v>6.7814744613605381E-4</v>
      </c>
      <c r="K7" s="94">
        <f t="shared" ref="K7:K38" si="9">20*LOG(Acm*C7*E7/(G7*I7))</f>
        <v>18.802827334645713</v>
      </c>
      <c r="L7" s="94">
        <f>D7+F7-H7-J7</f>
        <v>-0.33790017189796068</v>
      </c>
      <c r="M7" s="38">
        <f t="shared" ref="M7:M38" si="10">SQRT(1+(B7/Fzea)^2)</f>
        <v>1.0000000981087978</v>
      </c>
      <c r="N7" s="38">
        <f t="shared" ref="N7:N38" si="11">DEGREES(ATAN2(1,B7/Fzea))</f>
        <v>2.5379998339999259E-2</v>
      </c>
      <c r="O7" s="38">
        <f t="shared" ref="O7:O38" si="12">SQRT(1+(B7/Fpea)^2)</f>
        <v>1.7836770800191286</v>
      </c>
      <c r="P7" s="38">
        <f t="shared" ref="P7:P38" si="13">DEGREES(ATAN2(1,B7/Fpea))</f>
        <v>55.899958289351716</v>
      </c>
      <c r="Q7" s="38">
        <f t="shared" ref="Q7:Q38" si="14">SQRT(1+(B7/Fp2ea)^2)</f>
        <v>1.0000000020524356</v>
      </c>
      <c r="R7" s="38">
        <f t="shared" ref="R7:R38" si="15">DEGREES(ATAN2(1,B7/Fp2ea))</f>
        <v>3.6708987253580303E-3</v>
      </c>
      <c r="S7" s="95">
        <f>IF(AddPole="NO",20*LOG(Aea*Afb*M7/O7),20*LOG(Aea*Afb*M7/(O7*Q7)))</f>
        <v>67.793237346841664</v>
      </c>
      <c r="T7" s="95">
        <f t="shared" ref="T7:T38" si="16">IF(AddPole="NO",N7-P7, N7-P7 -R7)</f>
        <v>-55.878249189737076</v>
      </c>
      <c r="U7" s="96">
        <f>K7+S7</f>
        <v>86.596064681487377</v>
      </c>
      <c r="V7" s="96">
        <f t="shared" ref="U7:V38" si="17">L7+T7</f>
        <v>-56.21614936163504</v>
      </c>
      <c r="W7" s="38">
        <f>ABS(U7)</f>
        <v>86.596064681487377</v>
      </c>
      <c r="X7" s="38">
        <f>B7</f>
        <v>10</v>
      </c>
      <c r="Y7" s="38">
        <f>V7</f>
        <v>-56.21614936163504</v>
      </c>
    </row>
    <row r="8" spans="1:25" x14ac:dyDescent="0.2">
      <c r="A8" s="38">
        <f>A7+1</f>
        <v>1</v>
      </c>
      <c r="B8" s="38">
        <f t="shared" si="0"/>
        <v>11.481536214968829</v>
      </c>
      <c r="C8" s="38">
        <f t="shared" si="1"/>
        <v>1.0000000022992459</v>
      </c>
      <c r="D8" s="38">
        <f t="shared" si="2"/>
        <v>3.885351849189866E-3</v>
      </c>
      <c r="E8" s="38">
        <f t="shared" si="3"/>
        <v>1.0000000009806029</v>
      </c>
      <c r="F8" s="38">
        <f t="shared" si="4"/>
        <v>-2.5373726384362184E-3</v>
      </c>
      <c r="G8" s="38">
        <f t="shared" si="5"/>
        <v>1.0000229921961368</v>
      </c>
      <c r="H8" s="38">
        <f t="shared" si="6"/>
        <v>0.38852923009226725</v>
      </c>
      <c r="I8" s="38">
        <f t="shared" si="7"/>
        <v>0.99999999998338951</v>
      </c>
      <c r="J8" s="38">
        <f t="shared" si="8"/>
        <v>7.7861744619888058E-4</v>
      </c>
      <c r="K8" s="94">
        <f t="shared" si="9"/>
        <v>18.802779129041486</v>
      </c>
      <c r="L8" s="94">
        <f t="shared" ref="L8:L71" si="18">D8+F8-H8-J8</f>
        <v>-0.38795986832771251</v>
      </c>
      <c r="M8" s="38">
        <f t="shared" si="10"/>
        <v>1.0000001293325818</v>
      </c>
      <c r="N8" s="38">
        <f t="shared" si="11"/>
        <v>2.9140136401078189E-2</v>
      </c>
      <c r="O8" s="38">
        <f t="shared" si="12"/>
        <v>1.9687006502650619</v>
      </c>
      <c r="P8" s="38">
        <f t="shared" si="13"/>
        <v>59.472674027328637</v>
      </c>
      <c r="Q8" s="38">
        <f t="shared" si="14"/>
        <v>1.000000002705637</v>
      </c>
      <c r="R8" s="38">
        <f t="shared" si="15"/>
        <v>4.2147556638327246E-3</v>
      </c>
      <c r="S8" s="95">
        <f t="shared" ref="S8:S38" si="19">IF(AddPole="NO",20*LOG(Aea*Afb*M8/O8),20*LOG(Aea*Afb*M8/(O8*Q8)))</f>
        <v>66.935968552220416</v>
      </c>
      <c r="T8" s="95">
        <f t="shared" si="16"/>
        <v>-59.447748646591393</v>
      </c>
      <c r="U8" s="96">
        <f t="shared" si="17"/>
        <v>85.738747681261898</v>
      </c>
      <c r="V8" s="96">
        <f t="shared" si="17"/>
        <v>-59.835708514919105</v>
      </c>
      <c r="W8" s="38">
        <f t="shared" ref="W8:W71" si="20">ABS(U8)</f>
        <v>85.738747681261898</v>
      </c>
      <c r="X8" s="38">
        <f t="shared" ref="X8:X71" si="21">B8</f>
        <v>11.481536214968829</v>
      </c>
      <c r="Y8" s="38">
        <f t="shared" ref="Y8:Y71" si="22">V8</f>
        <v>-59.835708514919105</v>
      </c>
    </row>
    <row r="9" spans="1:25" x14ac:dyDescent="0.2">
      <c r="A9" s="38">
        <f t="shared" ref="A9:A72" si="23">A8+1</f>
        <v>2</v>
      </c>
      <c r="B9" s="38">
        <f t="shared" si="0"/>
        <v>13.182567385564072</v>
      </c>
      <c r="C9" s="38">
        <f t="shared" si="1"/>
        <v>1.0000000030309966</v>
      </c>
      <c r="D9" s="38">
        <f t="shared" si="2"/>
        <v>4.4609807942607368E-3</v>
      </c>
      <c r="E9" s="38">
        <f t="shared" si="3"/>
        <v>1.0000000012926866</v>
      </c>
      <c r="F9" s="38">
        <f t="shared" si="4"/>
        <v>-2.9132935833015173E-3</v>
      </c>
      <c r="G9" s="38">
        <f t="shared" si="5"/>
        <v>1.0000303095066008</v>
      </c>
      <c r="H9" s="38">
        <f t="shared" si="6"/>
        <v>0.44608906651025759</v>
      </c>
      <c r="I9" s="38">
        <f t="shared" si="7"/>
        <v>0.99999999997810318</v>
      </c>
      <c r="J9" s="38">
        <f t="shared" si="8"/>
        <v>8.9397244062738173E-4</v>
      </c>
      <c r="K9" s="94">
        <f t="shared" si="9"/>
        <v>18.802715582496706</v>
      </c>
      <c r="L9" s="94">
        <f t="shared" si="18"/>
        <v>-0.44543535173992577</v>
      </c>
      <c r="M9" s="38">
        <f t="shared" si="10"/>
        <v>1.0000001704935439</v>
      </c>
      <c r="N9" s="38">
        <f t="shared" si="11"/>
        <v>3.3457352221719937E-2</v>
      </c>
      <c r="O9" s="38">
        <f t="shared" si="12"/>
        <v>2.1888397223529572</v>
      </c>
      <c r="P9" s="38">
        <f t="shared" si="13"/>
        <v>62.815129392228343</v>
      </c>
      <c r="Q9" s="38">
        <f t="shared" si="14"/>
        <v>1.0000000035667242</v>
      </c>
      <c r="R9" s="38">
        <f t="shared" si="15"/>
        <v>4.8391869763760665E-3</v>
      </c>
      <c r="S9" s="95">
        <f t="shared" si="19"/>
        <v>66.015283366137282</v>
      </c>
      <c r="T9" s="95">
        <f t="shared" si="16"/>
        <v>-62.786511226983002</v>
      </c>
      <c r="U9" s="96">
        <f t="shared" si="17"/>
        <v>84.817998948633985</v>
      </c>
      <c r="V9" s="96">
        <f t="shared" si="17"/>
        <v>-63.231946578722926</v>
      </c>
      <c r="W9" s="38">
        <f t="shared" si="20"/>
        <v>84.817998948633985</v>
      </c>
      <c r="X9" s="38">
        <f t="shared" si="21"/>
        <v>13.182567385564072</v>
      </c>
      <c r="Y9" s="38">
        <f t="shared" si="22"/>
        <v>-63.231946578722926</v>
      </c>
    </row>
    <row r="10" spans="1:25" x14ac:dyDescent="0.2">
      <c r="A10" s="38">
        <f t="shared" si="23"/>
        <v>3</v>
      </c>
      <c r="B10" s="38">
        <f t="shared" si="0"/>
        <v>15.135612484362081</v>
      </c>
      <c r="C10" s="38">
        <f t="shared" si="1"/>
        <v>1.0000000039956316</v>
      </c>
      <c r="D10" s="38">
        <f t="shared" si="2"/>
        <v>5.1218912510646681E-3</v>
      </c>
      <c r="E10" s="38">
        <f t="shared" si="3"/>
        <v>1.0000000017040929</v>
      </c>
      <c r="F10" s="38">
        <f t="shared" si="4"/>
        <v>-3.3449085772338564E-3</v>
      </c>
      <c r="G10" s="38">
        <f t="shared" si="5"/>
        <v>1.0000399555186159</v>
      </c>
      <c r="H10" s="38">
        <f t="shared" si="6"/>
        <v>0.51217548366426768</v>
      </c>
      <c r="I10" s="38">
        <f t="shared" si="7"/>
        <v>0.99999999997113442</v>
      </c>
      <c r="J10" s="38">
        <f t="shared" si="8"/>
        <v>1.0264176952451422E-3</v>
      </c>
      <c r="K10" s="94">
        <f t="shared" si="9"/>
        <v>18.802631813257015</v>
      </c>
      <c r="L10" s="94">
        <f t="shared" si="18"/>
        <v>-0.51142491868568196</v>
      </c>
      <c r="M10" s="38">
        <f t="shared" si="10"/>
        <v>1.000000224754257</v>
      </c>
      <c r="N10" s="38">
        <f t="shared" si="11"/>
        <v>3.8414178729477548E-2</v>
      </c>
      <c r="O10" s="38">
        <f t="shared" si="12"/>
        <v>2.4489868880759773</v>
      </c>
      <c r="P10" s="38">
        <f t="shared" si="13"/>
        <v>65.899896032284246</v>
      </c>
      <c r="Q10" s="38">
        <f t="shared" si="14"/>
        <v>1.0000000047018585</v>
      </c>
      <c r="R10" s="38">
        <f t="shared" si="15"/>
        <v>5.5561300478220946E-3</v>
      </c>
      <c r="S10" s="95">
        <f t="shared" si="19"/>
        <v>65.039833860322659</v>
      </c>
      <c r="T10" s="95">
        <f t="shared" si="16"/>
        <v>-65.867037983602586</v>
      </c>
      <c r="U10" s="96">
        <f t="shared" si="17"/>
        <v>83.842465673579682</v>
      </c>
      <c r="V10" s="96">
        <f t="shared" si="17"/>
        <v>-66.378462902288263</v>
      </c>
      <c r="W10" s="38">
        <f t="shared" si="20"/>
        <v>83.842465673579682</v>
      </c>
      <c r="X10" s="38">
        <f t="shared" si="21"/>
        <v>15.135612484362081</v>
      </c>
      <c r="Y10" s="38">
        <f t="shared" si="22"/>
        <v>-66.378462902288263</v>
      </c>
    </row>
    <row r="11" spans="1:25" x14ac:dyDescent="0.2">
      <c r="A11" s="38">
        <f t="shared" si="23"/>
        <v>4</v>
      </c>
      <c r="B11" s="38">
        <f t="shared" si="0"/>
        <v>17.378008287493756</v>
      </c>
      <c r="C11" s="38">
        <f t="shared" si="1"/>
        <v>1.0000000052672684</v>
      </c>
      <c r="D11" s="38">
        <f t="shared" si="2"/>
        <v>5.8807179838376742E-3</v>
      </c>
      <c r="E11" s="38">
        <f t="shared" si="3"/>
        <v>1.0000000022464317</v>
      </c>
      <c r="F11" s="38">
        <f t="shared" si="4"/>
        <v>-3.8404688951384804E-3</v>
      </c>
      <c r="G11" s="38">
        <f t="shared" si="5"/>
        <v>1.0000526712967863</v>
      </c>
      <c r="H11" s="38">
        <f t="shared" si="6"/>
        <v>0.58805115154055532</v>
      </c>
      <c r="I11" s="38">
        <f t="shared" si="7"/>
        <v>0.99999999996194777</v>
      </c>
      <c r="J11" s="38">
        <f t="shared" si="8"/>
        <v>1.1784851939950817E-3</v>
      </c>
      <c r="K11" s="94">
        <f t="shared" si="9"/>
        <v>18.802521386361931</v>
      </c>
      <c r="L11" s="94">
        <f t="shared" si="18"/>
        <v>-0.58718938764585127</v>
      </c>
      <c r="M11" s="38">
        <f t="shared" si="10"/>
        <v>1.000000296283803</v>
      </c>
      <c r="N11" s="38">
        <f t="shared" si="11"/>
        <v>4.410537632185349E-2</v>
      </c>
      <c r="O11" s="38">
        <f t="shared" si="12"/>
        <v>2.754639093191678</v>
      </c>
      <c r="P11" s="38">
        <f t="shared" si="13"/>
        <v>68.713975502532008</v>
      </c>
      <c r="Q11" s="38">
        <f t="shared" si="14"/>
        <v>1.0000000061982566</v>
      </c>
      <c r="R11" s="38">
        <f t="shared" si="15"/>
        <v>6.3792908295506141E-3</v>
      </c>
      <c r="S11" s="95">
        <f t="shared" si="19"/>
        <v>64.018269534841579</v>
      </c>
      <c r="T11" s="95">
        <f t="shared" si="16"/>
        <v>-68.676249417039713</v>
      </c>
      <c r="U11" s="96">
        <f t="shared" si="17"/>
        <v>82.82079092120351</v>
      </c>
      <c r="V11" s="96">
        <f t="shared" si="17"/>
        <v>-69.263438804685563</v>
      </c>
      <c r="W11" s="38">
        <f t="shared" si="20"/>
        <v>82.82079092120351</v>
      </c>
      <c r="X11" s="38">
        <f t="shared" si="21"/>
        <v>17.378008287493756</v>
      </c>
      <c r="Y11" s="38">
        <f t="shared" si="22"/>
        <v>-69.263438804685563</v>
      </c>
    </row>
    <row r="12" spans="1:25" x14ac:dyDescent="0.2">
      <c r="A12" s="38">
        <f t="shared" si="23"/>
        <v>5</v>
      </c>
      <c r="B12" s="38">
        <f t="shared" si="0"/>
        <v>19.952623149688797</v>
      </c>
      <c r="C12" s="38">
        <f t="shared" si="1"/>
        <v>1.0000000069436119</v>
      </c>
      <c r="D12" s="38">
        <f t="shared" si="2"/>
        <v>6.7519676425993273E-3</v>
      </c>
      <c r="E12" s="38">
        <f t="shared" si="3"/>
        <v>1.0000000029613738</v>
      </c>
      <c r="F12" s="38">
        <f t="shared" si="4"/>
        <v>-4.4094482680977123E-3</v>
      </c>
      <c r="G12" s="38">
        <f t="shared" si="5"/>
        <v>1.000069433709994</v>
      </c>
      <c r="H12" s="38">
        <f t="shared" si="6"/>
        <v>0.67516551462677143</v>
      </c>
      <c r="I12" s="38">
        <f t="shared" si="7"/>
        <v>0.99999999994983735</v>
      </c>
      <c r="J12" s="38">
        <f t="shared" si="8"/>
        <v>1.3530820434126591E-3</v>
      </c>
      <c r="K12" s="94">
        <f t="shared" si="9"/>
        <v>18.802375819654856</v>
      </c>
      <c r="L12" s="94">
        <f t="shared" si="18"/>
        <v>-0.67417607729568252</v>
      </c>
      <c r="M12" s="38">
        <f t="shared" si="10"/>
        <v>1.0000003905781016</v>
      </c>
      <c r="N12" s="38">
        <f t="shared" si="11"/>
        <v>5.0639744368060194E-2</v>
      </c>
      <c r="O12" s="38">
        <f t="shared" si="12"/>
        <v>3.1120288485903171</v>
      </c>
      <c r="P12" s="38">
        <f t="shared" si="13"/>
        <v>71.256394437345122</v>
      </c>
      <c r="Q12" s="38">
        <f t="shared" si="14"/>
        <v>1.0000000081708933</v>
      </c>
      <c r="R12" s="38">
        <f t="shared" si="15"/>
        <v>7.3244058588981271E-3</v>
      </c>
      <c r="S12" s="95">
        <f t="shared" si="19"/>
        <v>62.958692183558256</v>
      </c>
      <c r="T12" s="95">
        <f t="shared" si="16"/>
        <v>-71.213079098835962</v>
      </c>
      <c r="U12" s="96">
        <f t="shared" si="17"/>
        <v>81.761068003213111</v>
      </c>
      <c r="V12" s="96">
        <f t="shared" si="17"/>
        <v>-71.887255176131646</v>
      </c>
      <c r="W12" s="38">
        <f t="shared" si="20"/>
        <v>81.761068003213111</v>
      </c>
      <c r="X12" s="38">
        <f t="shared" si="21"/>
        <v>19.952623149688797</v>
      </c>
      <c r="Y12" s="38">
        <f t="shared" si="22"/>
        <v>-71.887255176131646</v>
      </c>
    </row>
    <row r="13" spans="1:25" x14ac:dyDescent="0.2">
      <c r="A13" s="38">
        <f t="shared" si="23"/>
        <v>6</v>
      </c>
      <c r="B13" s="38">
        <f t="shared" si="0"/>
        <v>22.908676527677731</v>
      </c>
      <c r="C13" s="38">
        <f t="shared" si="1"/>
        <v>1.0000000091534633</v>
      </c>
      <c r="D13" s="38">
        <f t="shared" si="2"/>
        <v>7.7522960896592398E-3</v>
      </c>
      <c r="E13" s="38">
        <f t="shared" si="3"/>
        <v>1.000000003903851</v>
      </c>
      <c r="F13" s="38">
        <f t="shared" si="4"/>
        <v>-5.0627239946385441E-3</v>
      </c>
      <c r="G13" s="38">
        <f t="shared" si="5"/>
        <v>1.0000915304448559</v>
      </c>
      <c r="H13" s="38">
        <f t="shared" si="6"/>
        <v>0.77518231198634946</v>
      </c>
      <c r="I13" s="38">
        <f t="shared" si="7"/>
        <v>0.99999999993387267</v>
      </c>
      <c r="J13" s="38">
        <f t="shared" si="8"/>
        <v>1.5535460483974059E-3</v>
      </c>
      <c r="K13" s="94">
        <f t="shared" si="9"/>
        <v>18.802183932819588</v>
      </c>
      <c r="L13" s="94">
        <f t="shared" si="18"/>
        <v>-0.77404628593972613</v>
      </c>
      <c r="M13" s="38">
        <f t="shared" si="10"/>
        <v>1.0000005148821824</v>
      </c>
      <c r="N13" s="38">
        <f t="shared" si="11"/>
        <v>5.814220106965752E-2</v>
      </c>
      <c r="O13" s="38">
        <f t="shared" si="12"/>
        <v>3.5282708722778509</v>
      </c>
      <c r="P13" s="38">
        <f t="shared" si="13"/>
        <v>73.535276673248575</v>
      </c>
      <c r="Q13" s="38">
        <f t="shared" si="14"/>
        <v>1.0000000107713354</v>
      </c>
      <c r="R13" s="38">
        <f t="shared" si="15"/>
        <v>8.4095430976278539E-3</v>
      </c>
      <c r="S13" s="95">
        <f t="shared" si="19"/>
        <v>61.868327138232182</v>
      </c>
      <c r="T13" s="95">
        <f t="shared" si="16"/>
        <v>-73.485544015276545</v>
      </c>
      <c r="U13" s="96">
        <f t="shared" si="17"/>
        <v>80.670511071051777</v>
      </c>
      <c r="V13" s="96">
        <f t="shared" si="17"/>
        <v>-74.259590301216278</v>
      </c>
      <c r="W13" s="38">
        <f t="shared" si="20"/>
        <v>80.670511071051777</v>
      </c>
      <c r="X13" s="38">
        <f t="shared" si="21"/>
        <v>22.908676527677731</v>
      </c>
      <c r="Y13" s="38">
        <f t="shared" si="22"/>
        <v>-74.259590301216278</v>
      </c>
    </row>
    <row r="14" spans="1:25" x14ac:dyDescent="0.2">
      <c r="A14" s="38">
        <f t="shared" si="23"/>
        <v>7</v>
      </c>
      <c r="B14" s="38">
        <f t="shared" si="0"/>
        <v>26.302679918953821</v>
      </c>
      <c r="C14" s="38">
        <f t="shared" si="1"/>
        <v>1.0000000120666148</v>
      </c>
      <c r="D14" s="38">
        <f t="shared" si="2"/>
        <v>8.9008268129720756E-3</v>
      </c>
      <c r="E14" s="38">
        <f t="shared" si="3"/>
        <v>1.0000000051462781</v>
      </c>
      <c r="F14" s="38">
        <f t="shared" si="4"/>
        <v>-5.812784884268769E-3</v>
      </c>
      <c r="G14" s="38">
        <f t="shared" si="5"/>
        <v>1.0001206588684932</v>
      </c>
      <c r="H14" s="38">
        <f t="shared" si="6"/>
        <v>0.8900110969240429</v>
      </c>
      <c r="I14" s="38">
        <f t="shared" si="7"/>
        <v>0.99999999991282729</v>
      </c>
      <c r="J14" s="38">
        <f t="shared" si="8"/>
        <v>1.7837095217367511E-3</v>
      </c>
      <c r="K14" s="94">
        <f t="shared" si="9"/>
        <v>18.801930989663983</v>
      </c>
      <c r="L14" s="94">
        <f t="shared" si="18"/>
        <v>-0.88870676451707642</v>
      </c>
      <c r="M14" s="38">
        <f t="shared" si="10"/>
        <v>1.0000006787468509</v>
      </c>
      <c r="N14" s="38">
        <f t="shared" si="11"/>
        <v>6.6756171427278063E-2</v>
      </c>
      <c r="O14" s="38">
        <f t="shared" si="12"/>
        <v>4.0115233752774007</v>
      </c>
      <c r="P14" s="38">
        <f t="shared" si="13"/>
        <v>75.564979683901072</v>
      </c>
      <c r="Q14" s="38">
        <f t="shared" si="14"/>
        <v>1.0000000141993854</v>
      </c>
      <c r="R14" s="38">
        <f t="shared" si="15"/>
        <v>9.6554473406092953E-3</v>
      </c>
      <c r="S14" s="95">
        <f t="shared" si="19"/>
        <v>60.753380375470947</v>
      </c>
      <c r="T14" s="95">
        <f t="shared" si="16"/>
        <v>-75.507878959814406</v>
      </c>
      <c r="U14" s="96">
        <f t="shared" si="17"/>
        <v>79.555311365134926</v>
      </c>
      <c r="V14" s="96">
        <f t="shared" si="17"/>
        <v>-76.396585724331487</v>
      </c>
      <c r="W14" s="38">
        <f t="shared" si="20"/>
        <v>79.555311365134926</v>
      </c>
      <c r="X14" s="38">
        <f t="shared" si="21"/>
        <v>26.302679918953821</v>
      </c>
      <c r="Y14" s="38">
        <f t="shared" si="22"/>
        <v>-76.396585724331487</v>
      </c>
    </row>
    <row r="15" spans="1:25" x14ac:dyDescent="0.2">
      <c r="A15" s="38">
        <f t="shared" si="23"/>
        <v>8</v>
      </c>
      <c r="B15" s="38">
        <f t="shared" si="0"/>
        <v>30.199517204020164</v>
      </c>
      <c r="C15" s="38">
        <f t="shared" si="1"/>
        <v>1.000000015906896</v>
      </c>
      <c r="D15" s="38">
        <f t="shared" si="2"/>
        <v>1.0219516513466566E-2</v>
      </c>
      <c r="E15" s="38">
        <f t="shared" si="3"/>
        <v>1.0000000067841157</v>
      </c>
      <c r="F15" s="38">
        <f t="shared" si="4"/>
        <v>-6.6739700085682733E-3</v>
      </c>
      <c r="G15" s="38">
        <f t="shared" si="5"/>
        <v>1.0001590563129641</v>
      </c>
      <c r="H15" s="38">
        <f t="shared" si="6"/>
        <v>1.0218433090056793</v>
      </c>
      <c r="I15" s="38">
        <f t="shared" si="7"/>
        <v>0.99999999988508392</v>
      </c>
      <c r="J15" s="38">
        <f t="shared" si="8"/>
        <v>2.0479725472426231E-3</v>
      </c>
      <c r="K15" s="94">
        <f t="shared" si="9"/>
        <v>18.801597568160414</v>
      </c>
      <c r="L15" s="94">
        <f t="shared" si="18"/>
        <v>-1.0203457350480236</v>
      </c>
      <c r="M15" s="38">
        <f t="shared" si="10"/>
        <v>1.0000008947625134</v>
      </c>
      <c r="N15" s="38">
        <f t="shared" si="11"/>
        <v>7.6646328943629924E-2</v>
      </c>
      <c r="O15" s="38">
        <f t="shared" si="12"/>
        <v>4.5711653070239162</v>
      </c>
      <c r="P15" s="38">
        <f t="shared" si="13"/>
        <v>77.363635158281141</v>
      </c>
      <c r="Q15" s="38">
        <f t="shared" si="14"/>
        <v>1.0000000187184352</v>
      </c>
      <c r="R15" s="38">
        <f t="shared" si="15"/>
        <v>1.1085936797894408E-2</v>
      </c>
      <c r="S15" s="95">
        <f t="shared" si="19"/>
        <v>59.619030217143532</v>
      </c>
      <c r="T15" s="95">
        <f t="shared" si="16"/>
        <v>-77.298074766135414</v>
      </c>
      <c r="U15" s="96">
        <f t="shared" si="17"/>
        <v>78.42062778530395</v>
      </c>
      <c r="V15" s="96">
        <f t="shared" si="17"/>
        <v>-78.318420501183439</v>
      </c>
      <c r="W15" s="38">
        <f t="shared" si="20"/>
        <v>78.42062778530395</v>
      </c>
      <c r="X15" s="38">
        <f t="shared" si="21"/>
        <v>30.199517204020164</v>
      </c>
      <c r="Y15" s="38">
        <f t="shared" si="22"/>
        <v>-78.318420501183439</v>
      </c>
    </row>
    <row r="16" spans="1:25" x14ac:dyDescent="0.2">
      <c r="A16" s="38">
        <f t="shared" si="23"/>
        <v>9</v>
      </c>
      <c r="B16" s="38">
        <f t="shared" si="0"/>
        <v>34.673685045253173</v>
      </c>
      <c r="C16" s="38">
        <f t="shared" si="1"/>
        <v>1.0000000209693729</v>
      </c>
      <c r="D16" s="38">
        <f t="shared" si="2"/>
        <v>1.1733574855283202E-2</v>
      </c>
      <c r="E16" s="38">
        <f t="shared" si="3"/>
        <v>1.0000000089432062</v>
      </c>
      <c r="F16" s="38">
        <f t="shared" si="4"/>
        <v>-7.6627428240695411E-3</v>
      </c>
      <c r="G16" s="38">
        <f t="shared" si="5"/>
        <v>1.0002096717504831</v>
      </c>
      <c r="H16" s="38">
        <f t="shared" si="6"/>
        <v>1.173193512719011</v>
      </c>
      <c r="I16" s="38">
        <f t="shared" si="7"/>
        <v>0.99999999984851118</v>
      </c>
      <c r="J16" s="38">
        <f t="shared" si="8"/>
        <v>2.3513870970881608E-3</v>
      </c>
      <c r="K16" s="94">
        <f t="shared" si="9"/>
        <v>18.801158072138332</v>
      </c>
      <c r="L16" s="94">
        <f t="shared" si="18"/>
        <v>-1.1714740677848854</v>
      </c>
      <c r="M16" s="38">
        <f t="shared" si="10"/>
        <v>1.0000011795265447</v>
      </c>
      <c r="N16" s="38">
        <f t="shared" si="11"/>
        <v>8.8001743444593702E-2</v>
      </c>
      <c r="O16" s="38">
        <f t="shared" si="12"/>
        <v>5.2179925104873908</v>
      </c>
      <c r="P16" s="38">
        <f t="shared" si="13"/>
        <v>78.951224226679372</v>
      </c>
      <c r="Q16" s="38">
        <f t="shared" si="14"/>
        <v>1.0000000246757035</v>
      </c>
      <c r="R16" s="38">
        <f t="shared" si="15"/>
        <v>1.2728358431637195E-2</v>
      </c>
      <c r="S16" s="95">
        <f t="shared" si="19"/>
        <v>58.469502149844963</v>
      </c>
      <c r="T16" s="95">
        <f t="shared" si="16"/>
        <v>-78.875950841666409</v>
      </c>
      <c r="U16" s="96">
        <f t="shared" si="17"/>
        <v>77.270660221983292</v>
      </c>
      <c r="V16" s="96">
        <f t="shared" si="17"/>
        <v>-80.047424909451294</v>
      </c>
      <c r="W16" s="38">
        <f t="shared" si="20"/>
        <v>77.270660221983292</v>
      </c>
      <c r="X16" s="38">
        <f t="shared" si="21"/>
        <v>34.673685045253173</v>
      </c>
      <c r="Y16" s="38">
        <f t="shared" si="22"/>
        <v>-80.047424909451294</v>
      </c>
    </row>
    <row r="17" spans="1:25" x14ac:dyDescent="0.2">
      <c r="A17" s="38">
        <f t="shared" si="23"/>
        <v>10</v>
      </c>
      <c r="B17" s="38">
        <f t="shared" si="0"/>
        <v>39.810717055349727</v>
      </c>
      <c r="C17" s="38">
        <f t="shared" si="1"/>
        <v>1.000000027643017</v>
      </c>
      <c r="D17" s="38">
        <f t="shared" si="2"/>
        <v>1.3471946403260186E-2</v>
      </c>
      <c r="E17" s="38">
        <f t="shared" si="3"/>
        <v>1.0000000117894419</v>
      </c>
      <c r="F17" s="38">
        <f t="shared" si="4"/>
        <v>-8.7980059073605611E-3</v>
      </c>
      <c r="G17" s="38">
        <f t="shared" si="5"/>
        <v>1.0002763919784579</v>
      </c>
      <c r="H17" s="38">
        <f t="shared" si="6"/>
        <v>1.3469464773046527</v>
      </c>
      <c r="I17" s="38">
        <f t="shared" si="7"/>
        <v>0.99999999980029874</v>
      </c>
      <c r="J17" s="38">
        <f t="shared" si="8"/>
        <v>2.699753611434162E-3</v>
      </c>
      <c r="K17" s="94">
        <f t="shared" si="9"/>
        <v>18.800578771517401</v>
      </c>
      <c r="L17" s="94">
        <f t="shared" si="18"/>
        <v>-1.3449722904201873</v>
      </c>
      <c r="M17" s="38">
        <f t="shared" si="10"/>
        <v>1.0000015549185239</v>
      </c>
      <c r="N17" s="38">
        <f t="shared" si="11"/>
        <v>0.10103949514769463</v>
      </c>
      <c r="O17" s="38">
        <f t="shared" si="12"/>
        <v>5.9644368730876307</v>
      </c>
      <c r="P17" s="38">
        <f t="shared" si="13"/>
        <v>80.348181216519549</v>
      </c>
      <c r="Q17" s="38">
        <f t="shared" si="14"/>
        <v>1.0000000325289122</v>
      </c>
      <c r="R17" s="38">
        <f t="shared" si="15"/>
        <v>1.461411075248285E-2</v>
      </c>
      <c r="S17" s="95">
        <f t="shared" si="19"/>
        <v>57.308185442039957</v>
      </c>
      <c r="T17" s="95">
        <f t="shared" si="16"/>
        <v>-80.261755832124351</v>
      </c>
      <c r="U17" s="96">
        <f t="shared" si="17"/>
        <v>76.10876421355735</v>
      </c>
      <c r="V17" s="96">
        <f t="shared" si="17"/>
        <v>-81.606728122544538</v>
      </c>
      <c r="W17" s="38">
        <f t="shared" si="20"/>
        <v>76.10876421355735</v>
      </c>
      <c r="X17" s="38">
        <f t="shared" si="21"/>
        <v>39.810717055349727</v>
      </c>
      <c r="Y17" s="38">
        <f t="shared" si="22"/>
        <v>-81.606728122544538</v>
      </c>
    </row>
    <row r="18" spans="1:25" x14ac:dyDescent="0.2">
      <c r="A18" s="38">
        <f t="shared" si="23"/>
        <v>11</v>
      </c>
      <c r="B18" s="38">
        <f t="shared" si="0"/>
        <v>45.708818961487495</v>
      </c>
      <c r="C18" s="38">
        <f t="shared" si="1"/>
        <v>1.0000000364405934</v>
      </c>
      <c r="D18" s="38">
        <f t="shared" si="2"/>
        <v>1.5467863960795275E-2</v>
      </c>
      <c r="E18" s="38">
        <f t="shared" si="3"/>
        <v>1.000000015541511</v>
      </c>
      <c r="F18" s="38">
        <f t="shared" si="4"/>
        <v>-1.0101462319219405E-2</v>
      </c>
      <c r="G18" s="38">
        <f t="shared" si="5"/>
        <v>1.0003643395689052</v>
      </c>
      <c r="H18" s="38">
        <f t="shared" si="6"/>
        <v>1.5464108257814095</v>
      </c>
      <c r="I18" s="38">
        <f t="shared" si="7"/>
        <v>0.99999999973674247</v>
      </c>
      <c r="J18" s="38">
        <f t="shared" si="8"/>
        <v>3.0997318866794786E-3</v>
      </c>
      <c r="K18" s="94">
        <f t="shared" si="9"/>
        <v>18.799815222659245</v>
      </c>
      <c r="L18" s="94">
        <f t="shared" si="18"/>
        <v>-1.544144156026513</v>
      </c>
      <c r="M18" s="38">
        <f t="shared" si="10"/>
        <v>1.0000020497813149</v>
      </c>
      <c r="N18" s="38">
        <f t="shared" si="11"/>
        <v>0.11600882399578624</v>
      </c>
      <c r="O18" s="38">
        <f t="shared" si="12"/>
        <v>6.8248133392691965</v>
      </c>
      <c r="P18" s="38">
        <f t="shared" si="13"/>
        <v>81.5744504604762</v>
      </c>
      <c r="Q18" s="38">
        <f t="shared" si="14"/>
        <v>1.0000000428814575</v>
      </c>
      <c r="R18" s="38">
        <f t="shared" si="15"/>
        <v>1.6779244069614462E-2</v>
      </c>
      <c r="S18" s="95">
        <f t="shared" si="19"/>
        <v>56.137763023090976</v>
      </c>
      <c r="T18" s="95">
        <f t="shared" si="16"/>
        <v>-81.475220880550026</v>
      </c>
      <c r="U18" s="96">
        <f t="shared" si="17"/>
        <v>74.937578245750217</v>
      </c>
      <c r="V18" s="96">
        <f t="shared" si="17"/>
        <v>-83.019365036576545</v>
      </c>
      <c r="W18" s="38">
        <f t="shared" si="20"/>
        <v>74.937578245750217</v>
      </c>
      <c r="X18" s="38">
        <f t="shared" si="21"/>
        <v>45.708818961487495</v>
      </c>
      <c r="Y18" s="38">
        <f t="shared" si="22"/>
        <v>-83.019365036576545</v>
      </c>
    </row>
    <row r="19" spans="1:25" x14ac:dyDescent="0.2">
      <c r="A19" s="38">
        <f t="shared" si="23"/>
        <v>12</v>
      </c>
      <c r="B19" s="38">
        <f t="shared" si="0"/>
        <v>52.480746024977265</v>
      </c>
      <c r="C19" s="38">
        <f t="shared" si="1"/>
        <v>1.0000000480380575</v>
      </c>
      <c r="D19" s="38">
        <f t="shared" si="2"/>
        <v>1.7759483886098233E-2</v>
      </c>
      <c r="E19" s="38">
        <f t="shared" si="3"/>
        <v>1.0000000204877018</v>
      </c>
      <c r="F19" s="38">
        <f t="shared" si="4"/>
        <v>-1.1598030505982017E-2</v>
      </c>
      <c r="G19" s="38">
        <f t="shared" si="5"/>
        <v>1.0004802652593614</v>
      </c>
      <c r="H19" s="38">
        <f t="shared" si="6"/>
        <v>1.7753800190183644</v>
      </c>
      <c r="I19" s="38">
        <f t="shared" si="7"/>
        <v>0.99999999965295894</v>
      </c>
      <c r="J19" s="38">
        <f t="shared" si="8"/>
        <v>3.5589683922111191E-3</v>
      </c>
      <c r="K19" s="94">
        <f t="shared" si="9"/>
        <v>18.798808874372991</v>
      </c>
      <c r="L19" s="94">
        <f t="shared" si="18"/>
        <v>-1.7727775340304592</v>
      </c>
      <c r="M19" s="38">
        <f t="shared" si="10"/>
        <v>1.0000027021371496</v>
      </c>
      <c r="N19" s="38">
        <f t="shared" si="11"/>
        <v>0.13319589346903266</v>
      </c>
      <c r="O19" s="38">
        <f t="shared" si="12"/>
        <v>7.8156002513201095</v>
      </c>
      <c r="P19" s="38">
        <f t="shared" si="13"/>
        <v>82.648898065663545</v>
      </c>
      <c r="Q19" s="38">
        <f t="shared" si="14"/>
        <v>1.0000000565287699</v>
      </c>
      <c r="R19" s="38">
        <f t="shared" si="15"/>
        <v>1.9265149669229605E-2</v>
      </c>
      <c r="S19" s="95">
        <f t="shared" si="19"/>
        <v>54.960337362857885</v>
      </c>
      <c r="T19" s="95">
        <f t="shared" si="16"/>
        <v>-82.534967321863732</v>
      </c>
      <c r="U19" s="96">
        <f t="shared" si="17"/>
        <v>73.75914623723088</v>
      </c>
      <c r="V19" s="96">
        <f t="shared" si="17"/>
        <v>-84.307744855894185</v>
      </c>
      <c r="W19" s="38">
        <f t="shared" si="20"/>
        <v>73.75914623723088</v>
      </c>
      <c r="X19" s="38">
        <f t="shared" si="21"/>
        <v>52.480746024977265</v>
      </c>
      <c r="Y19" s="38">
        <f t="shared" si="22"/>
        <v>-84.307744855894185</v>
      </c>
    </row>
    <row r="20" spans="1:25" x14ac:dyDescent="0.2">
      <c r="A20" s="38">
        <f t="shared" si="23"/>
        <v>13</v>
      </c>
      <c r="B20" s="38">
        <f t="shared" si="0"/>
        <v>60.255958607435794</v>
      </c>
      <c r="C20" s="38">
        <f t="shared" si="1"/>
        <v>1.0000000633264925</v>
      </c>
      <c r="D20" s="38">
        <f t="shared" si="2"/>
        <v>2.0390615531912168E-2</v>
      </c>
      <c r="E20" s="38">
        <f t="shared" si="3"/>
        <v>1.0000000270080507</v>
      </c>
      <c r="F20" s="38">
        <f t="shared" si="4"/>
        <v>-1.3316320669789874E-2</v>
      </c>
      <c r="G20" s="38">
        <f t="shared" si="5"/>
        <v>1.0006330645601482</v>
      </c>
      <c r="H20" s="38">
        <f t="shared" si="6"/>
        <v>2.0382014486833953</v>
      </c>
      <c r="I20" s="38">
        <f t="shared" si="7"/>
        <v>0.99999999954251095</v>
      </c>
      <c r="J20" s="38">
        <f t="shared" si="8"/>
        <v>4.0862424495977379E-3</v>
      </c>
      <c r="K20" s="94">
        <f t="shared" si="9"/>
        <v>18.797482605288465</v>
      </c>
      <c r="L20" s="94">
        <f t="shared" si="18"/>
        <v>-2.0352133962708709</v>
      </c>
      <c r="M20" s="38">
        <f t="shared" si="10"/>
        <v>1.0000035621089742</v>
      </c>
      <c r="N20" s="38">
        <f t="shared" si="11"/>
        <v>0.1529292597785894</v>
      </c>
      <c r="O20" s="38">
        <f t="shared" si="12"/>
        <v>8.9557590512896397</v>
      </c>
      <c r="P20" s="38">
        <f t="shared" si="13"/>
        <v>83.588984208548155</v>
      </c>
      <c r="Q20" s="38">
        <f t="shared" si="14"/>
        <v>1.0000000745194311</v>
      </c>
      <c r="R20" s="38">
        <f t="shared" si="15"/>
        <v>2.2119351096110955E-2</v>
      </c>
      <c r="S20" s="95">
        <f t="shared" si="19"/>
        <v>53.777543426700234</v>
      </c>
      <c r="T20" s="95">
        <f t="shared" si="16"/>
        <v>-83.458174299865675</v>
      </c>
      <c r="U20" s="96">
        <f t="shared" si="17"/>
        <v>72.575026031988699</v>
      </c>
      <c r="V20" s="96">
        <f t="shared" si="17"/>
        <v>-85.493387696136551</v>
      </c>
      <c r="W20" s="38">
        <f t="shared" si="20"/>
        <v>72.575026031988699</v>
      </c>
      <c r="X20" s="38">
        <f t="shared" si="21"/>
        <v>60.255958607435794</v>
      </c>
      <c r="Y20" s="38">
        <f t="shared" si="22"/>
        <v>-85.493387696136551</v>
      </c>
    </row>
    <row r="21" spans="1:25" x14ac:dyDescent="0.2">
      <c r="A21" s="38">
        <f t="shared" si="23"/>
        <v>14</v>
      </c>
      <c r="B21" s="38">
        <f t="shared" si="0"/>
        <v>69.183097091893671</v>
      </c>
      <c r="C21" s="38">
        <f t="shared" si="1"/>
        <v>1.0000000834805747</v>
      </c>
      <c r="D21" s="38">
        <f t="shared" si="2"/>
        <v>2.3411558752956568E-2</v>
      </c>
      <c r="E21" s="38">
        <f t="shared" si="3"/>
        <v>1.0000000356035446</v>
      </c>
      <c r="F21" s="38">
        <f t="shared" si="4"/>
        <v>-1.5289181714420995E-2</v>
      </c>
      <c r="G21" s="38">
        <f t="shared" si="5"/>
        <v>1.0008344576219579</v>
      </c>
      <c r="H21" s="38">
        <f t="shared" si="6"/>
        <v>2.3398543688981075</v>
      </c>
      <c r="I21" s="38">
        <f t="shared" si="7"/>
        <v>0.99999999939691187</v>
      </c>
      <c r="J21" s="38">
        <f t="shared" si="8"/>
        <v>4.6916340687687989E-3</v>
      </c>
      <c r="K21" s="94">
        <f t="shared" si="9"/>
        <v>18.795734860965037</v>
      </c>
      <c r="L21" s="94">
        <f t="shared" si="18"/>
        <v>-2.3364236259283406</v>
      </c>
      <c r="M21" s="38">
        <f t="shared" si="10"/>
        <v>1.000004695771497</v>
      </c>
      <c r="N21" s="38">
        <f t="shared" si="11"/>
        <v>0.17558615074435088</v>
      </c>
      <c r="O21" s="38">
        <f t="shared" si="12"/>
        <v>10.267100006335497</v>
      </c>
      <c r="P21" s="38">
        <f t="shared" si="13"/>
        <v>84.410616682286388</v>
      </c>
      <c r="Q21" s="38">
        <f t="shared" si="14"/>
        <v>1.0000000982357411</v>
      </c>
      <c r="R21" s="38">
        <f t="shared" si="15"/>
        <v>2.5396412664621396E-2</v>
      </c>
      <c r="S21" s="95">
        <f t="shared" si="19"/>
        <v>52.590645235295426</v>
      </c>
      <c r="T21" s="95">
        <f t="shared" si="16"/>
        <v>-84.260426944206657</v>
      </c>
      <c r="U21" s="96">
        <f t="shared" si="17"/>
        <v>71.386380096260467</v>
      </c>
      <c r="V21" s="96">
        <f t="shared" si="17"/>
        <v>-86.596850570135004</v>
      </c>
      <c r="W21" s="38">
        <f t="shared" si="20"/>
        <v>71.386380096260467</v>
      </c>
      <c r="X21" s="38">
        <f t="shared" si="21"/>
        <v>69.183097091893671</v>
      </c>
      <c r="Y21" s="38">
        <f t="shared" si="22"/>
        <v>-86.596850570135004</v>
      </c>
    </row>
    <row r="22" spans="1:25" x14ac:dyDescent="0.2">
      <c r="A22" s="38">
        <f t="shared" si="23"/>
        <v>15</v>
      </c>
      <c r="B22" s="38">
        <f t="shared" si="0"/>
        <v>79.43282347242814</v>
      </c>
      <c r="C22" s="38">
        <f t="shared" si="1"/>
        <v>1.0000001100488287</v>
      </c>
      <c r="D22" s="38">
        <f t="shared" si="2"/>
        <v>2.6880065490989879E-2</v>
      </c>
      <c r="E22" s="38">
        <f t="shared" si="3"/>
        <v>1.0000000469346124</v>
      </c>
      <c r="F22" s="38">
        <f t="shared" si="4"/>
        <v>-1.7554329222530186E-2</v>
      </c>
      <c r="G22" s="38">
        <f t="shared" si="5"/>
        <v>1.0010998834753075</v>
      </c>
      <c r="H22" s="38">
        <f t="shared" si="6"/>
        <v>2.6860372664534768</v>
      </c>
      <c r="I22" s="38">
        <f t="shared" si="7"/>
        <v>0.99999999920497507</v>
      </c>
      <c r="J22" s="38">
        <f t="shared" si="8"/>
        <v>5.3867166497447716E-3</v>
      </c>
      <c r="K22" s="94">
        <f t="shared" si="9"/>
        <v>18.793431959756909</v>
      </c>
      <c r="L22" s="94">
        <f t="shared" si="18"/>
        <v>-2.6820982468347623</v>
      </c>
      <c r="M22" s="38">
        <f t="shared" si="10"/>
        <v>1.0000061902277932</v>
      </c>
      <c r="N22" s="38">
        <f t="shared" si="11"/>
        <v>0.20159967400792422</v>
      </c>
      <c r="O22" s="38">
        <f t="shared" si="12"/>
        <v>11.774701371953244</v>
      </c>
      <c r="P22" s="38">
        <f t="shared" si="13"/>
        <v>85.128124374352836</v>
      </c>
      <c r="Q22" s="38">
        <f t="shared" si="14"/>
        <v>1.0000001294999257</v>
      </c>
      <c r="R22" s="38">
        <f t="shared" si="15"/>
        <v>2.9158982566159845E-2</v>
      </c>
      <c r="S22" s="95">
        <f t="shared" si="19"/>
        <v>51.400615761111283</v>
      </c>
      <c r="T22" s="95">
        <f t="shared" si="16"/>
        <v>-84.955683682911072</v>
      </c>
      <c r="U22" s="96">
        <f t="shared" si="17"/>
        <v>70.194047720868184</v>
      </c>
      <c r="V22" s="96">
        <f t="shared" si="17"/>
        <v>-87.637781929745842</v>
      </c>
      <c r="W22" s="38">
        <f t="shared" si="20"/>
        <v>70.194047720868184</v>
      </c>
      <c r="X22" s="38">
        <f t="shared" si="21"/>
        <v>79.43282347242814</v>
      </c>
      <c r="Y22" s="38">
        <f t="shared" si="22"/>
        <v>-87.637781929745842</v>
      </c>
    </row>
    <row r="23" spans="1:25" x14ac:dyDescent="0.2">
      <c r="A23" s="38">
        <f t="shared" si="23"/>
        <v>16</v>
      </c>
      <c r="B23" s="38">
        <f t="shared" si="0"/>
        <v>91.201083935590987</v>
      </c>
      <c r="C23" s="38">
        <f t="shared" si="1"/>
        <v>1.0000001450726075</v>
      </c>
      <c r="D23" s="38">
        <f t="shared" si="2"/>
        <v>3.086244381894054E-2</v>
      </c>
      <c r="E23" s="38">
        <f t="shared" si="3"/>
        <v>1.0000000618718685</v>
      </c>
      <c r="F23" s="38">
        <f t="shared" si="4"/>
        <v>-2.0155066469089006E-2</v>
      </c>
      <c r="G23" s="38">
        <f t="shared" si="5"/>
        <v>1.0014496753999338</v>
      </c>
      <c r="H23" s="38">
        <f t="shared" si="6"/>
        <v>3.0832650019308558</v>
      </c>
      <c r="I23" s="38">
        <f t="shared" si="7"/>
        <v>0.99999999895195302</v>
      </c>
      <c r="J23" s="38">
        <f t="shared" si="8"/>
        <v>6.1847782338466054E-3</v>
      </c>
      <c r="K23" s="94">
        <f t="shared" si="9"/>
        <v>18.790398009998896</v>
      </c>
      <c r="L23" s="94">
        <f t="shared" si="18"/>
        <v>-3.0787424028148509</v>
      </c>
      <c r="M23" s="38">
        <f t="shared" si="10"/>
        <v>1.0000081603014634</v>
      </c>
      <c r="N23" s="38">
        <f t="shared" si="11"/>
        <v>0.23146709180137384</v>
      </c>
      <c r="O23" s="38">
        <f t="shared" si="12"/>
        <v>13.507390317847053</v>
      </c>
      <c r="P23" s="38">
        <f t="shared" si="13"/>
        <v>85.754305824664257</v>
      </c>
      <c r="Q23" s="38">
        <f t="shared" si="14"/>
        <v>1.0000001707141459</v>
      </c>
      <c r="R23" s="38">
        <f t="shared" si="15"/>
        <v>3.347899051262733E-2</v>
      </c>
      <c r="S23" s="95">
        <f t="shared" si="19"/>
        <v>50.208201549842506</v>
      </c>
      <c r="T23" s="95">
        <f t="shared" si="16"/>
        <v>-85.556317723375514</v>
      </c>
      <c r="U23" s="96">
        <f t="shared" si="17"/>
        <v>68.998599559841409</v>
      </c>
      <c r="V23" s="96">
        <f t="shared" si="17"/>
        <v>-88.635060126190368</v>
      </c>
      <c r="W23" s="38">
        <f t="shared" si="20"/>
        <v>68.998599559841409</v>
      </c>
      <c r="X23" s="38">
        <f t="shared" si="21"/>
        <v>91.201083935590987</v>
      </c>
      <c r="Y23" s="38">
        <f t="shared" si="22"/>
        <v>-88.635060126190368</v>
      </c>
    </row>
    <row r="24" spans="1:25" x14ac:dyDescent="0.2">
      <c r="A24" s="38">
        <f t="shared" si="23"/>
        <v>17</v>
      </c>
      <c r="B24" s="38">
        <f t="shared" si="0"/>
        <v>104.71285480508999</v>
      </c>
      <c r="C24" s="38">
        <f t="shared" si="1"/>
        <v>1.0000001912429379</v>
      </c>
      <c r="D24" s="38">
        <f t="shared" si="2"/>
        <v>3.5434825548269051E-2</v>
      </c>
      <c r="E24" s="38">
        <f t="shared" si="3"/>
        <v>1.0000000815630068</v>
      </c>
      <c r="F24" s="38">
        <f t="shared" si="4"/>
        <v>-2.3141112254211726E-2</v>
      </c>
      <c r="G24" s="38">
        <f t="shared" si="5"/>
        <v>1.0019106043571793</v>
      </c>
      <c r="H24" s="38">
        <f t="shared" si="6"/>
        <v>3.5389755718377023</v>
      </c>
      <c r="I24" s="38">
        <f t="shared" si="7"/>
        <v>0.99999999861840505</v>
      </c>
      <c r="J24" s="38">
        <f t="shared" si="8"/>
        <v>7.1010755341035037E-3</v>
      </c>
      <c r="K24" s="94">
        <f t="shared" si="9"/>
        <v>18.786401722125799</v>
      </c>
      <c r="L24" s="94">
        <f t="shared" si="18"/>
        <v>-3.5337829340777485</v>
      </c>
      <c r="M24" s="38">
        <f t="shared" si="10"/>
        <v>1.000010757358424</v>
      </c>
      <c r="N24" s="38">
        <f t="shared" si="11"/>
        <v>0.26575931958383164</v>
      </c>
      <c r="O24" s="38">
        <f t="shared" si="12"/>
        <v>15.498295033404915</v>
      </c>
      <c r="P24" s="38">
        <f t="shared" si="13"/>
        <v>86.300521435806317</v>
      </c>
      <c r="Q24" s="38">
        <f t="shared" si="14"/>
        <v>1.0000002250450672</v>
      </c>
      <c r="R24" s="38">
        <f t="shared" si="15"/>
        <v>3.8439022808848013E-2</v>
      </c>
      <c r="S24" s="95">
        <f t="shared" si="19"/>
        <v>49.013974147462079</v>
      </c>
      <c r="T24" s="95">
        <f t="shared" si="16"/>
        <v>-86.073201139031326</v>
      </c>
      <c r="U24" s="96">
        <f t="shared" si="17"/>
        <v>67.800375869587882</v>
      </c>
      <c r="V24" s="96">
        <f t="shared" si="17"/>
        <v>-89.606984073109075</v>
      </c>
      <c r="W24" s="38">
        <f t="shared" si="20"/>
        <v>67.800375869587882</v>
      </c>
      <c r="X24" s="38">
        <f t="shared" si="21"/>
        <v>104.71285480508999</v>
      </c>
      <c r="Y24" s="38">
        <f t="shared" si="22"/>
        <v>-89.606984073109075</v>
      </c>
    </row>
    <row r="25" spans="1:25" x14ac:dyDescent="0.2">
      <c r="A25" s="38">
        <f t="shared" si="23"/>
        <v>18</v>
      </c>
      <c r="B25" s="38">
        <f t="shared" si="0"/>
        <v>120.22644346174133</v>
      </c>
      <c r="C25" s="38">
        <f t="shared" si="1"/>
        <v>1.0000002521072839</v>
      </c>
      <c r="D25" s="38">
        <f t="shared" si="2"/>
        <v>4.0684621629527025E-2</v>
      </c>
      <c r="E25" s="38">
        <f t="shared" si="3"/>
        <v>1.0000001075209817</v>
      </c>
      <c r="F25" s="38">
        <f t="shared" si="4"/>
        <v>-2.656955138034461E-2</v>
      </c>
      <c r="G25" s="38">
        <f t="shared" si="5"/>
        <v>1.0025179032383456</v>
      </c>
      <c r="H25" s="38">
        <f t="shared" si="6"/>
        <v>4.0616455309188417</v>
      </c>
      <c r="I25" s="38">
        <f t="shared" si="7"/>
        <v>0.99999999817870311</v>
      </c>
      <c r="J25" s="38">
        <f t="shared" si="8"/>
        <v>8.1531256012316276E-3</v>
      </c>
      <c r="K25" s="94">
        <f t="shared" si="9"/>
        <v>18.781139203084486</v>
      </c>
      <c r="L25" s="94">
        <f t="shared" si="18"/>
        <v>-4.0556835862708907</v>
      </c>
      <c r="M25" s="38">
        <f t="shared" si="10"/>
        <v>1.0000141809359568</v>
      </c>
      <c r="N25" s="38">
        <f t="shared" si="11"/>
        <v>0.30513182880398132</v>
      </c>
      <c r="O25" s="38">
        <f t="shared" si="12"/>
        <v>17.785478723860177</v>
      </c>
      <c r="P25" s="38">
        <f t="shared" si="13"/>
        <v>86.776808100492858</v>
      </c>
      <c r="Q25" s="38">
        <f t="shared" si="14"/>
        <v>1.0000002966671657</v>
      </c>
      <c r="R25" s="38">
        <f t="shared" si="15"/>
        <v>4.4133901137472072E-2</v>
      </c>
      <c r="S25" s="95">
        <f t="shared" si="19"/>
        <v>47.818370555689981</v>
      </c>
      <c r="T25" s="95">
        <f t="shared" si="16"/>
        <v>-86.515810172826349</v>
      </c>
      <c r="U25" s="96">
        <f t="shared" si="17"/>
        <v>66.599509758774474</v>
      </c>
      <c r="V25" s="96">
        <f t="shared" si="17"/>
        <v>-90.571493759097237</v>
      </c>
      <c r="W25" s="38">
        <f t="shared" si="20"/>
        <v>66.599509758774474</v>
      </c>
      <c r="X25" s="38">
        <f t="shared" si="21"/>
        <v>120.22644346174133</v>
      </c>
      <c r="Y25" s="38">
        <f t="shared" si="22"/>
        <v>-90.571493759097237</v>
      </c>
    </row>
    <row r="26" spans="1:25" x14ac:dyDescent="0.2">
      <c r="A26" s="38">
        <f t="shared" si="23"/>
        <v>19</v>
      </c>
      <c r="B26" s="38">
        <f t="shared" si="0"/>
        <v>138.03842646028852</v>
      </c>
      <c r="C26" s="38">
        <f t="shared" si="1"/>
        <v>1.0000003323421125</v>
      </c>
      <c r="D26" s="38">
        <f t="shared" si="2"/>
        <v>4.6712193164542448E-2</v>
      </c>
      <c r="E26" s="38">
        <f t="shared" si="3"/>
        <v>1.0000001417402564</v>
      </c>
      <c r="F26" s="38">
        <f t="shared" si="4"/>
        <v>-3.0505925942963114E-2</v>
      </c>
      <c r="G26" s="38">
        <f t="shared" si="5"/>
        <v>1.0033179173893181</v>
      </c>
      <c r="H26" s="38">
        <f t="shared" si="6"/>
        <v>4.660911808537052</v>
      </c>
      <c r="I26" s="38">
        <f t="shared" si="7"/>
        <v>0.99999999759906322</v>
      </c>
      <c r="J26" s="38">
        <f t="shared" si="8"/>
        <v>9.3610407010534125E-3</v>
      </c>
      <c r="K26" s="94">
        <f t="shared" si="9"/>
        <v>18.77421158434759</v>
      </c>
      <c r="L26" s="94">
        <f t="shared" si="18"/>
        <v>-4.6540665820165259</v>
      </c>
      <c r="M26" s="38">
        <f t="shared" si="10"/>
        <v>1.0000186940722002</v>
      </c>
      <c r="N26" s="38">
        <f t="shared" si="11"/>
        <v>0.35033716020682143</v>
      </c>
      <c r="O26" s="38">
        <f t="shared" si="12"/>
        <v>20.412667725378295</v>
      </c>
      <c r="P26" s="38">
        <f t="shared" si="13"/>
        <v>87.19200239706899</v>
      </c>
      <c r="Q26" s="38">
        <f t="shared" si="14"/>
        <v>1.0000003910834718</v>
      </c>
      <c r="R26" s="38">
        <f t="shared" si="15"/>
        <v>5.0672495232234771E-2</v>
      </c>
      <c r="S26" s="95">
        <f t="shared" si="19"/>
        <v>46.621724798592496</v>
      </c>
      <c r="T26" s="95">
        <f t="shared" si="16"/>
        <v>-86.892337732094404</v>
      </c>
      <c r="U26" s="96">
        <f t="shared" si="17"/>
        <v>65.395936382940079</v>
      </c>
      <c r="V26" s="96">
        <f t="shared" si="17"/>
        <v>-91.54640431411093</v>
      </c>
      <c r="W26" s="38">
        <f t="shared" si="20"/>
        <v>65.395936382940079</v>
      </c>
      <c r="X26" s="38">
        <f t="shared" si="21"/>
        <v>138.03842646028852</v>
      </c>
      <c r="Y26" s="38">
        <f t="shared" si="22"/>
        <v>-91.54640431411093</v>
      </c>
    </row>
    <row r="27" spans="1:25" x14ac:dyDescent="0.2">
      <c r="A27" s="38">
        <f t="shared" si="23"/>
        <v>20</v>
      </c>
      <c r="B27" s="38">
        <f t="shared" si="0"/>
        <v>158.48931924611136</v>
      </c>
      <c r="C27" s="38">
        <f t="shared" si="1"/>
        <v>1.0000004381122061</v>
      </c>
      <c r="D27" s="38">
        <f t="shared" si="2"/>
        <v>5.3632769968103539E-2</v>
      </c>
      <c r="E27" s="38">
        <f t="shared" si="3"/>
        <v>1.0000001868500439</v>
      </c>
      <c r="F27" s="38">
        <f t="shared" si="4"/>
        <v>-3.5025488295200691E-2</v>
      </c>
      <c r="G27" s="38">
        <f t="shared" si="5"/>
        <v>1.0043715677188982</v>
      </c>
      <c r="H27" s="38">
        <f t="shared" si="6"/>
        <v>5.3476956177877053</v>
      </c>
      <c r="I27" s="38">
        <f t="shared" si="7"/>
        <v>0.999999996834949</v>
      </c>
      <c r="J27" s="38">
        <f t="shared" si="8"/>
        <v>1.0747912805324684E-2</v>
      </c>
      <c r="K27" s="94">
        <f t="shared" si="9"/>
        <v>18.765096062090599</v>
      </c>
      <c r="L27" s="94">
        <f t="shared" si="18"/>
        <v>-5.3398362489201272</v>
      </c>
      <c r="M27" s="38">
        <f t="shared" si="10"/>
        <v>1.000024643513342</v>
      </c>
      <c r="N27" s="38">
        <f t="shared" si="11"/>
        <v>0.40223928385928676</v>
      </c>
      <c r="O27" s="38">
        <f t="shared" si="12"/>
        <v>23.430087732370193</v>
      </c>
      <c r="P27" s="38">
        <f t="shared" si="13"/>
        <v>87.553863672773161</v>
      </c>
      <c r="Q27" s="38">
        <f t="shared" si="14"/>
        <v>1.00000051554839</v>
      </c>
      <c r="R27" s="38">
        <f t="shared" si="15"/>
        <v>5.817980408361223E-2</v>
      </c>
      <c r="S27" s="95">
        <f t="shared" si="19"/>
        <v>45.424292421647891</v>
      </c>
      <c r="T27" s="95">
        <f t="shared" si="16"/>
        <v>-87.209804192997481</v>
      </c>
      <c r="U27" s="96">
        <f t="shared" si="17"/>
        <v>64.189388483738497</v>
      </c>
      <c r="V27" s="96">
        <f t="shared" si="17"/>
        <v>-92.549640441917603</v>
      </c>
      <c r="W27" s="38">
        <f t="shared" si="20"/>
        <v>64.189388483738497</v>
      </c>
      <c r="X27" s="38">
        <f t="shared" si="21"/>
        <v>158.48931924611136</v>
      </c>
      <c r="Y27" s="38">
        <f t="shared" si="22"/>
        <v>-92.549640441917603</v>
      </c>
    </row>
    <row r="28" spans="1:25" x14ac:dyDescent="0.2">
      <c r="A28" s="38">
        <f t="shared" si="23"/>
        <v>21</v>
      </c>
      <c r="B28" s="38">
        <f t="shared" si="0"/>
        <v>181.97008586099841</v>
      </c>
      <c r="C28" s="38">
        <f t="shared" si="1"/>
        <v>1.0000005775443277</v>
      </c>
      <c r="D28" s="38">
        <f t="shared" si="2"/>
        <v>6.1578653345761021E-2</v>
      </c>
      <c r="E28" s="38">
        <f t="shared" si="3"/>
        <v>1.0000002463163222</v>
      </c>
      <c r="F28" s="38">
        <f t="shared" si="4"/>
        <v>-4.0214639636554951E-2</v>
      </c>
      <c r="G28" s="38">
        <f t="shared" si="5"/>
        <v>1.0057588626951843</v>
      </c>
      <c r="H28" s="38">
        <f t="shared" si="6"/>
        <v>6.1343210648879269</v>
      </c>
      <c r="I28" s="38">
        <f t="shared" si="7"/>
        <v>0.99999999582765031</v>
      </c>
      <c r="J28" s="38">
        <f t="shared" si="8"/>
        <v>1.2340255046429742E-2</v>
      </c>
      <c r="K28" s="94">
        <f t="shared" si="9"/>
        <v>18.753108633178332</v>
      </c>
      <c r="L28" s="94">
        <f t="shared" si="18"/>
        <v>-6.1252973062251499</v>
      </c>
      <c r="M28" s="38">
        <f t="shared" si="10"/>
        <v>1.0000324863501338</v>
      </c>
      <c r="N28" s="38">
        <f t="shared" si="11"/>
        <v>0.46183007581034813</v>
      </c>
      <c r="O28" s="38">
        <f t="shared" si="12"/>
        <v>26.895424173343127</v>
      </c>
      <c r="P28" s="38">
        <f t="shared" si="13"/>
        <v>87.869191852167361</v>
      </c>
      <c r="Q28" s="38">
        <f t="shared" si="14"/>
        <v>1.0000006796250835</v>
      </c>
      <c r="R28" s="38">
        <f t="shared" si="15"/>
        <v>6.6799345449770842E-2</v>
      </c>
      <c r="S28" s="95">
        <f t="shared" si="19"/>
        <v>44.226269451874636</v>
      </c>
      <c r="T28" s="95">
        <f t="shared" si="16"/>
        <v>-87.474161121806773</v>
      </c>
      <c r="U28" s="96">
        <f t="shared" si="17"/>
        <v>62.979378085052971</v>
      </c>
      <c r="V28" s="96">
        <f t="shared" si="17"/>
        <v>-93.599458428031923</v>
      </c>
      <c r="W28" s="38">
        <f t="shared" si="20"/>
        <v>62.979378085052971</v>
      </c>
      <c r="X28" s="38">
        <f t="shared" si="21"/>
        <v>181.97008586099841</v>
      </c>
      <c r="Y28" s="38">
        <f t="shared" si="22"/>
        <v>-93.599458428031923</v>
      </c>
    </row>
    <row r="29" spans="1:25" x14ac:dyDescent="0.2">
      <c r="A29" s="38">
        <f t="shared" si="23"/>
        <v>22</v>
      </c>
      <c r="B29" s="38">
        <f t="shared" si="0"/>
        <v>208.92961308540393</v>
      </c>
      <c r="C29" s="38">
        <f t="shared" si="1"/>
        <v>1.000000761351632</v>
      </c>
      <c r="D29" s="38">
        <f t="shared" si="2"/>
        <v>7.0701745182175563E-2</v>
      </c>
      <c r="E29" s="38">
        <f t="shared" si="3"/>
        <v>1.0000003247081388</v>
      </c>
      <c r="F29" s="38">
        <f t="shared" si="4"/>
        <v>-4.6172581722868034E-2</v>
      </c>
      <c r="G29" s="38">
        <f t="shared" si="5"/>
        <v>1.0075847549629251</v>
      </c>
      <c r="H29" s="38">
        <f t="shared" si="6"/>
        <v>7.0346164867399645</v>
      </c>
      <c r="I29" s="38">
        <f t="shared" si="7"/>
        <v>0.99999999449977206</v>
      </c>
      <c r="J29" s="38">
        <f t="shared" si="8"/>
        <v>1.4168508575429638E-2</v>
      </c>
      <c r="K29" s="94">
        <f t="shared" si="9"/>
        <v>18.737356529363819</v>
      </c>
      <c r="L29" s="94">
        <f t="shared" si="18"/>
        <v>-7.0242558318560864</v>
      </c>
      <c r="M29" s="38">
        <f t="shared" si="10"/>
        <v>1.0000428251285989</v>
      </c>
      <c r="N29" s="38">
        <f t="shared" si="11"/>
        <v>0.53024821940024158</v>
      </c>
      <c r="O29" s="38">
        <f t="shared" si="12"/>
        <v>30.874925128645653</v>
      </c>
      <c r="P29" s="38">
        <f t="shared" si="13"/>
        <v>88.143937142814579</v>
      </c>
      <c r="Q29" s="38">
        <f t="shared" si="14"/>
        <v>1.0000008959202491</v>
      </c>
      <c r="R29" s="38">
        <f t="shared" si="15"/>
        <v>7.6695899332479778E-2</v>
      </c>
      <c r="S29" s="95">
        <f t="shared" si="19"/>
        <v>43.027807069488766</v>
      </c>
      <c r="T29" s="95">
        <f t="shared" si="16"/>
        <v>-87.690384822746822</v>
      </c>
      <c r="U29" s="96">
        <f t="shared" si="17"/>
        <v>61.765163598852581</v>
      </c>
      <c r="V29" s="96">
        <f t="shared" si="17"/>
        <v>-94.714640654602903</v>
      </c>
      <c r="W29" s="38">
        <f t="shared" si="20"/>
        <v>61.765163598852581</v>
      </c>
      <c r="X29" s="38">
        <f t="shared" si="21"/>
        <v>208.92961308540393</v>
      </c>
      <c r="Y29" s="38">
        <f t="shared" si="22"/>
        <v>-94.714640654602903</v>
      </c>
    </row>
    <row r="30" spans="1:25" x14ac:dyDescent="0.2">
      <c r="A30" s="38">
        <f t="shared" si="23"/>
        <v>23</v>
      </c>
      <c r="B30" s="38">
        <f t="shared" si="0"/>
        <v>239.88329190194906</v>
      </c>
      <c r="C30" s="38">
        <f t="shared" si="1"/>
        <v>1.0000010036567974</v>
      </c>
      <c r="D30" s="38">
        <f t="shared" si="2"/>
        <v>8.1176451664089697E-2</v>
      </c>
      <c r="E30" s="38">
        <f t="shared" si="3"/>
        <v>1.0000004280486698</v>
      </c>
      <c r="F30" s="38">
        <f t="shared" si="4"/>
        <v>-5.3013213266696849E-2</v>
      </c>
      <c r="G30" s="38">
        <f t="shared" si="5"/>
        <v>1.0099867058647256</v>
      </c>
      <c r="H30" s="38">
        <f t="shared" si="6"/>
        <v>8.0639799382078721</v>
      </c>
      <c r="I30" s="38">
        <f t="shared" si="7"/>
        <v>0.99999999274928775</v>
      </c>
      <c r="J30" s="38">
        <f t="shared" si="8"/>
        <v>1.6267624513331327E-2</v>
      </c>
      <c r="K30" s="94">
        <f t="shared" si="9"/>
        <v>18.716678157610858</v>
      </c>
      <c r="L30" s="94">
        <f t="shared" si="18"/>
        <v>-8.0520843243238094</v>
      </c>
      <c r="M30" s="38">
        <f t="shared" si="10"/>
        <v>1.0000564541296566</v>
      </c>
      <c r="N30" s="38">
        <f t="shared" si="11"/>
        <v>0.60880088200764382</v>
      </c>
      <c r="O30" s="38">
        <f t="shared" si="12"/>
        <v>35.444667897369378</v>
      </c>
      <c r="P30" s="38">
        <f t="shared" si="13"/>
        <v>88.383300320873843</v>
      </c>
      <c r="Q30" s="38">
        <f t="shared" si="14"/>
        <v>1.0000011810527372</v>
      </c>
      <c r="R30" s="38">
        <f t="shared" si="15"/>
        <v>8.8058657833635368E-2</v>
      </c>
      <c r="S30" s="95">
        <f t="shared" si="19"/>
        <v>41.829022998413556</v>
      </c>
      <c r="T30" s="95">
        <f t="shared" si="16"/>
        <v>-87.862558096699843</v>
      </c>
      <c r="U30" s="96">
        <f t="shared" si="17"/>
        <v>60.545701156024414</v>
      </c>
      <c r="V30" s="96">
        <f t="shared" si="17"/>
        <v>-95.914642421023657</v>
      </c>
      <c r="W30" s="38">
        <f t="shared" si="20"/>
        <v>60.545701156024414</v>
      </c>
      <c r="X30" s="38">
        <f t="shared" si="21"/>
        <v>239.88329190194906</v>
      </c>
      <c r="Y30" s="38">
        <f t="shared" si="22"/>
        <v>-95.914642421023657</v>
      </c>
    </row>
    <row r="31" spans="1:25" x14ac:dyDescent="0.2">
      <c r="A31" s="38">
        <f t="shared" si="23"/>
        <v>24</v>
      </c>
      <c r="B31" s="38">
        <f t="shared" si="0"/>
        <v>275.42287033381666</v>
      </c>
      <c r="C31" s="38">
        <f t="shared" si="1"/>
        <v>1.0000013230771252</v>
      </c>
      <c r="D31" s="38">
        <f t="shared" si="2"/>
        <v>9.3203017111113895E-2</v>
      </c>
      <c r="E31" s="38">
        <f t="shared" si="3"/>
        <v>1.0000005642780052</v>
      </c>
      <c r="F31" s="38">
        <f t="shared" si="4"/>
        <v>-6.0867307271404478E-2</v>
      </c>
      <c r="G31" s="38">
        <f t="shared" si="5"/>
        <v>1.0131443924779324</v>
      </c>
      <c r="H31" s="38">
        <f t="shared" si="6"/>
        <v>9.2393810209570173</v>
      </c>
      <c r="I31" s="38">
        <f t="shared" si="7"/>
        <v>0.99999999044170029</v>
      </c>
      <c r="J31" s="38">
        <f t="shared" si="8"/>
        <v>1.867773212109778E-2</v>
      </c>
      <c r="K31" s="94">
        <f t="shared" si="9"/>
        <v>18.689568381125575</v>
      </c>
      <c r="L31" s="94">
        <f t="shared" si="18"/>
        <v>-9.225723043238407</v>
      </c>
      <c r="M31" s="38">
        <f t="shared" si="10"/>
        <v>1.0000744203683312</v>
      </c>
      <c r="N31" s="38">
        <f t="shared" si="11"/>
        <v>0.69898856566890599</v>
      </c>
      <c r="O31" s="38">
        <f t="shared" si="12"/>
        <v>40.692013441694648</v>
      </c>
      <c r="P31" s="38">
        <f t="shared" si="13"/>
        <v>88.591823228314183</v>
      </c>
      <c r="Q31" s="38">
        <f t="shared" si="14"/>
        <v>1.000001556930437</v>
      </c>
      <c r="R31" s="38">
        <f t="shared" si="15"/>
        <v>0.10110484156049537</v>
      </c>
      <c r="S31" s="95">
        <f t="shared" si="19"/>
        <v>40.630010421201959</v>
      </c>
      <c r="T31" s="95">
        <f t="shared" si="16"/>
        <v>-87.99393950420577</v>
      </c>
      <c r="U31" s="96">
        <f t="shared" si="17"/>
        <v>59.319578802327534</v>
      </c>
      <c r="V31" s="96">
        <f t="shared" si="17"/>
        <v>-97.219662547444173</v>
      </c>
      <c r="W31" s="38">
        <f t="shared" si="20"/>
        <v>59.319578802327534</v>
      </c>
      <c r="X31" s="38">
        <f t="shared" si="21"/>
        <v>275.42287033381666</v>
      </c>
      <c r="Y31" s="38">
        <f t="shared" si="22"/>
        <v>-97.219662547444173</v>
      </c>
    </row>
    <row r="32" spans="1:25" x14ac:dyDescent="0.2">
      <c r="A32" s="38">
        <f t="shared" si="23"/>
        <v>25</v>
      </c>
      <c r="B32" s="38">
        <f t="shared" si="0"/>
        <v>316.22776601683802</v>
      </c>
      <c r="C32" s="38">
        <f t="shared" si="1"/>
        <v>1.0000017441549687</v>
      </c>
      <c r="D32" s="38">
        <f t="shared" si="2"/>
        <v>0.10701135159051815</v>
      </c>
      <c r="E32" s="38">
        <f t="shared" si="3"/>
        <v>1.0000007438632159</v>
      </c>
      <c r="F32" s="38">
        <f t="shared" si="4"/>
        <v>-6.9885010907553835E-2</v>
      </c>
      <c r="G32" s="38">
        <f t="shared" si="5"/>
        <v>1.0172920572752007</v>
      </c>
      <c r="H32" s="38">
        <f t="shared" si="6"/>
        <v>10.579258884734587</v>
      </c>
      <c r="I32" s="38">
        <f t="shared" si="7"/>
        <v>0.99999998739970763</v>
      </c>
      <c r="J32" s="38">
        <f t="shared" si="8"/>
        <v>2.1444905962302072E-2</v>
      </c>
      <c r="K32" s="94">
        <f t="shared" si="9"/>
        <v>18.654087452588627</v>
      </c>
      <c r="L32" s="94">
        <f t="shared" si="18"/>
        <v>-10.563577450013923</v>
      </c>
      <c r="M32" s="38">
        <f t="shared" si="10"/>
        <v>1.0000981039903525</v>
      </c>
      <c r="N32" s="38">
        <f t="shared" si="11"/>
        <v>0.80253358249114148</v>
      </c>
      <c r="O32" s="38">
        <f t="shared" si="12"/>
        <v>46.717276523632734</v>
      </c>
      <c r="P32" s="38">
        <f t="shared" si="13"/>
        <v>88.773469686910445</v>
      </c>
      <c r="Q32" s="38">
        <f t="shared" si="14"/>
        <v>1.0000020524335314</v>
      </c>
      <c r="R32" s="38">
        <f t="shared" si="15"/>
        <v>0.11608385164199062</v>
      </c>
      <c r="S32" s="95">
        <f t="shared" si="19"/>
        <v>39.430845062943291</v>
      </c>
      <c r="T32" s="95">
        <f t="shared" si="16"/>
        <v>-88.087019956061297</v>
      </c>
      <c r="U32" s="96">
        <f t="shared" si="17"/>
        <v>58.084932515531918</v>
      </c>
      <c r="V32" s="96">
        <f t="shared" si="17"/>
        <v>-98.650597406075221</v>
      </c>
      <c r="W32" s="38">
        <f t="shared" si="20"/>
        <v>58.084932515531918</v>
      </c>
      <c r="X32" s="38">
        <f t="shared" si="21"/>
        <v>316.22776601683802</v>
      </c>
      <c r="Y32" s="38">
        <f t="shared" si="22"/>
        <v>-98.650597406075221</v>
      </c>
    </row>
    <row r="33" spans="1:25" x14ac:dyDescent="0.2">
      <c r="A33" s="38">
        <f t="shared" si="23"/>
        <v>26</v>
      </c>
      <c r="B33" s="38">
        <f t="shared" si="0"/>
        <v>363.07805477010157</v>
      </c>
      <c r="C33" s="38">
        <f t="shared" si="1"/>
        <v>1.0000022992434026</v>
      </c>
      <c r="D33" s="38">
        <f t="shared" si="2"/>
        <v>0.12286542540253764</v>
      </c>
      <c r="E33" s="38">
        <f t="shared" si="3"/>
        <v>1.0000009806025807</v>
      </c>
      <c r="F33" s="38">
        <f t="shared" si="4"/>
        <v>-8.0238715698089075E-2</v>
      </c>
      <c r="G33" s="38">
        <f t="shared" si="5"/>
        <v>1.0227340421216427</v>
      </c>
      <c r="H33" s="38">
        <f t="shared" si="6"/>
        <v>12.103260658405812</v>
      </c>
      <c r="I33" s="38">
        <f t="shared" si="7"/>
        <v>0.99999998338958118</v>
      </c>
      <c r="J33" s="38">
        <f t="shared" si="8"/>
        <v>2.4622046724973666E-2</v>
      </c>
      <c r="K33" s="94">
        <f t="shared" si="9"/>
        <v>18.607753201242204</v>
      </c>
      <c r="L33" s="94">
        <f t="shared" si="18"/>
        <v>-12.085255995426337</v>
      </c>
      <c r="M33" s="38">
        <f t="shared" si="10"/>
        <v>1.0001293242276941</v>
      </c>
      <c r="N33" s="38">
        <f t="shared" si="11"/>
        <v>0.92141266269494404</v>
      </c>
      <c r="O33" s="38">
        <f t="shared" si="12"/>
        <v>53.635643469190157</v>
      </c>
      <c r="P33" s="38">
        <f t="shared" si="13"/>
        <v>88.931697360878161</v>
      </c>
      <c r="Q33" s="38">
        <f t="shared" si="14"/>
        <v>1.0000027056334495</v>
      </c>
      <c r="R33" s="38">
        <f t="shared" si="15"/>
        <v>0.13328203662027011</v>
      </c>
      <c r="S33" s="95">
        <f t="shared" si="19"/>
        <v>38.231590964909444</v>
      </c>
      <c r="T33" s="95">
        <f t="shared" si="16"/>
        <v>-88.143566734803485</v>
      </c>
      <c r="U33" s="96">
        <f t="shared" si="17"/>
        <v>56.839344166151648</v>
      </c>
      <c r="V33" s="96">
        <f t="shared" si="17"/>
        <v>-100.22882273022982</v>
      </c>
      <c r="W33" s="38">
        <f t="shared" si="20"/>
        <v>56.839344166151648</v>
      </c>
      <c r="X33" s="38">
        <f t="shared" si="21"/>
        <v>363.07805477010157</v>
      </c>
      <c r="Y33" s="38">
        <f t="shared" si="22"/>
        <v>-100.22882273022982</v>
      </c>
    </row>
    <row r="34" spans="1:25" x14ac:dyDescent="0.2">
      <c r="A34" s="38">
        <f t="shared" si="23"/>
        <v>27</v>
      </c>
      <c r="B34" s="38">
        <f t="shared" si="0"/>
        <v>416.86938347033549</v>
      </c>
      <c r="C34" s="38">
        <f t="shared" si="1"/>
        <v>1.0000030309919998</v>
      </c>
      <c r="D34" s="38">
        <f t="shared" si="2"/>
        <v>0.14106831431510225</v>
      </c>
      <c r="E34" s="38">
        <f t="shared" si="3"/>
        <v>1.0000012926857582</v>
      </c>
      <c r="F34" s="38">
        <f t="shared" si="4"/>
        <v>-9.2126352845643744E-2</v>
      </c>
      <c r="G34" s="38">
        <f t="shared" si="5"/>
        <v>1.0298640356219302</v>
      </c>
      <c r="H34" s="38">
        <f t="shared" si="6"/>
        <v>13.83174678887481</v>
      </c>
      <c r="I34" s="38">
        <f t="shared" si="7"/>
        <v>0.99999997810320584</v>
      </c>
      <c r="J34" s="38">
        <f t="shared" si="8"/>
        <v>2.8269892542308772E-2</v>
      </c>
      <c r="K34" s="94">
        <f t="shared" si="9"/>
        <v>18.547418706856604</v>
      </c>
      <c r="L34" s="94">
        <f t="shared" si="18"/>
        <v>-13.81107471994766</v>
      </c>
      <c r="M34" s="38">
        <f t="shared" si="10"/>
        <v>1.000170479026828</v>
      </c>
      <c r="N34" s="38">
        <f t="shared" si="11"/>
        <v>1.0578942634078519</v>
      </c>
      <c r="O34" s="38">
        <f t="shared" si="12"/>
        <v>61.579374226685445</v>
      </c>
      <c r="P34" s="38">
        <f t="shared" si="13"/>
        <v>89.069521267581834</v>
      </c>
      <c r="Q34" s="38">
        <f t="shared" si="14"/>
        <v>1.0000035667179914</v>
      </c>
      <c r="R34" s="38">
        <f t="shared" si="15"/>
        <v>0.15302816517942838</v>
      </c>
      <c r="S34" s="95">
        <f t="shared" si="19"/>
        <v>37.032305377652847</v>
      </c>
      <c r="T34" s="95">
        <f t="shared" si="16"/>
        <v>-88.164655169353424</v>
      </c>
      <c r="U34" s="96">
        <f t="shared" si="17"/>
        <v>55.579724084509451</v>
      </c>
      <c r="V34" s="96">
        <f t="shared" si="17"/>
        <v>-101.97572988930108</v>
      </c>
      <c r="W34" s="38">
        <f t="shared" si="20"/>
        <v>55.579724084509451</v>
      </c>
      <c r="X34" s="38">
        <f t="shared" si="21"/>
        <v>416.86938347033549</v>
      </c>
      <c r="Y34" s="38">
        <f t="shared" si="22"/>
        <v>-101.97572988930108</v>
      </c>
    </row>
    <row r="35" spans="1:25" x14ac:dyDescent="0.2">
      <c r="A35" s="38">
        <f t="shared" si="23"/>
        <v>28</v>
      </c>
      <c r="B35" s="38">
        <f t="shared" si="0"/>
        <v>478.63009232263857</v>
      </c>
      <c r="C35" s="38">
        <f t="shared" si="1"/>
        <v>1.0000039956237012</v>
      </c>
      <c r="D35" s="38">
        <f t="shared" si="2"/>
        <v>0.16196799179994045</v>
      </c>
      <c r="E35" s="38">
        <f t="shared" si="3"/>
        <v>1.0000017040913611</v>
      </c>
      <c r="F35" s="38">
        <f t="shared" si="4"/>
        <v>-0.10577517664405323</v>
      </c>
      <c r="G35" s="38">
        <f t="shared" si="5"/>
        <v>1.0391884495485633</v>
      </c>
      <c r="H35" s="38">
        <f t="shared" si="6"/>
        <v>15.784973006878543</v>
      </c>
      <c r="I35" s="38">
        <f t="shared" si="7"/>
        <v>0.99999997113440775</v>
      </c>
      <c r="J35" s="38">
        <f t="shared" si="8"/>
        <v>3.245818014710878E-2</v>
      </c>
      <c r="K35" s="94">
        <f t="shared" si="9"/>
        <v>18.469142344284567</v>
      </c>
      <c r="L35" s="94">
        <f t="shared" si="18"/>
        <v>-15.761238371869764</v>
      </c>
      <c r="M35" s="38">
        <f t="shared" si="10"/>
        <v>1.0002247290306427</v>
      </c>
      <c r="N35" s="38">
        <f t="shared" si="11"/>
        <v>1.2145812079060783</v>
      </c>
      <c r="O35" s="38">
        <f t="shared" si="12"/>
        <v>70.70033081936792</v>
      </c>
      <c r="P35" s="38">
        <f t="shared" si="13"/>
        <v>89.18956970300647</v>
      </c>
      <c r="Q35" s="38">
        <f t="shared" si="14"/>
        <v>1.0000047018473581</v>
      </c>
      <c r="R35" s="38">
        <f t="shared" si="15"/>
        <v>0.17569970908087038</v>
      </c>
      <c r="S35" s="95">
        <f t="shared" si="19"/>
        <v>35.833043140945712</v>
      </c>
      <c r="T35" s="95">
        <f t="shared" si="16"/>
        <v>-88.150688204181264</v>
      </c>
      <c r="U35" s="96">
        <f t="shared" si="17"/>
        <v>54.302185485230282</v>
      </c>
      <c r="V35" s="96">
        <f t="shared" si="17"/>
        <v>-103.91192657605103</v>
      </c>
      <c r="W35" s="38">
        <f t="shared" si="20"/>
        <v>54.302185485230282</v>
      </c>
      <c r="X35" s="38">
        <f t="shared" si="21"/>
        <v>478.63009232263857</v>
      </c>
      <c r="Y35" s="38">
        <f t="shared" si="22"/>
        <v>-103.91192657605103</v>
      </c>
    </row>
    <row r="36" spans="1:25" x14ac:dyDescent="0.2">
      <c r="A36" s="38">
        <f t="shared" si="23"/>
        <v>29</v>
      </c>
      <c r="B36" s="38">
        <f t="shared" si="0"/>
        <v>549.54087385762466</v>
      </c>
      <c r="C36" s="38">
        <f t="shared" si="1"/>
        <v>1.0000052672545199</v>
      </c>
      <c r="D36" s="38">
        <f t="shared" si="2"/>
        <v>0.18596397870046327</v>
      </c>
      <c r="E36" s="38">
        <f t="shared" si="3"/>
        <v>1.0000022464293108</v>
      </c>
      <c r="F36" s="38">
        <f t="shared" si="4"/>
        <v>-0.12144610821850894</v>
      </c>
      <c r="G36" s="38">
        <f t="shared" si="5"/>
        <v>1.05135406397562</v>
      </c>
      <c r="H36" s="38">
        <f t="shared" si="6"/>
        <v>17.981849980584364</v>
      </c>
      <c r="I36" s="38">
        <f t="shared" si="7"/>
        <v>0.99999996194774587</v>
      </c>
      <c r="J36" s="38">
        <f t="shared" si="8"/>
        <v>3.7266978059846453E-2</v>
      </c>
      <c r="K36" s="94">
        <f t="shared" si="9"/>
        <v>18.368064443316051</v>
      </c>
      <c r="L36" s="94">
        <f t="shared" si="18"/>
        <v>-17.954599088162258</v>
      </c>
      <c r="M36" s="38">
        <f t="shared" si="10"/>
        <v>1.0002962399679851</v>
      </c>
      <c r="N36" s="38">
        <f t="shared" si="11"/>
        <v>1.3944593441751685</v>
      </c>
      <c r="O36" s="38">
        <f t="shared" si="12"/>
        <v>81.172880531245596</v>
      </c>
      <c r="P36" s="38">
        <f t="shared" si="13"/>
        <v>89.294133354543675</v>
      </c>
      <c r="Q36" s="38">
        <f t="shared" si="14"/>
        <v>1.0000061982373261</v>
      </c>
      <c r="R36" s="38">
        <f t="shared" si="15"/>
        <v>0.20173005603329922</v>
      </c>
      <c r="S36" s="95">
        <f t="shared" si="19"/>
        <v>34.63386088119838</v>
      </c>
      <c r="T36" s="95">
        <f t="shared" si="16"/>
        <v>-88.101404066401798</v>
      </c>
      <c r="U36" s="96">
        <f t="shared" si="17"/>
        <v>53.001925324514431</v>
      </c>
      <c r="V36" s="96">
        <f t="shared" si="17"/>
        <v>-106.05600315456405</v>
      </c>
      <c r="W36" s="38">
        <f t="shared" si="20"/>
        <v>53.001925324514431</v>
      </c>
      <c r="X36" s="38">
        <f t="shared" si="21"/>
        <v>549.54087385762466</v>
      </c>
      <c r="Y36" s="38">
        <f t="shared" si="22"/>
        <v>-106.05600315456405</v>
      </c>
    </row>
    <row r="37" spans="1:25" x14ac:dyDescent="0.2">
      <c r="A37" s="38">
        <f t="shared" si="23"/>
        <v>30</v>
      </c>
      <c r="B37" s="38">
        <f t="shared" si="0"/>
        <v>630.95734448019311</v>
      </c>
      <c r="C37" s="38">
        <f t="shared" si="1"/>
        <v>1.0000069435879448</v>
      </c>
      <c r="D37" s="38">
        <f t="shared" si="2"/>
        <v>0.21351497699897923</v>
      </c>
      <c r="E37" s="38">
        <f t="shared" si="3"/>
        <v>1.0000029613695178</v>
      </c>
      <c r="F37" s="38">
        <f t="shared" si="4"/>
        <v>-0.13943872250766165</v>
      </c>
      <c r="G37" s="38">
        <f t="shared" si="5"/>
        <v>1.0671795729998843</v>
      </c>
      <c r="H37" s="38">
        <f t="shared" si="6"/>
        <v>20.438193868679324</v>
      </c>
      <c r="I37" s="38">
        <f t="shared" si="7"/>
        <v>0.99999994983737239</v>
      </c>
      <c r="J37" s="38">
        <f t="shared" si="8"/>
        <v>4.2788217300021338E-2</v>
      </c>
      <c r="K37" s="94">
        <f t="shared" si="9"/>
        <v>18.238315199134462</v>
      </c>
      <c r="L37" s="94">
        <f t="shared" si="18"/>
        <v>-20.406905831488029</v>
      </c>
      <c r="M37" s="38">
        <f t="shared" si="10"/>
        <v>1.0003905019320125</v>
      </c>
      <c r="N37" s="38">
        <f t="shared" si="11"/>
        <v>1.600952962231067</v>
      </c>
      <c r="O37" s="38">
        <f t="shared" si="12"/>
        <v>93.197229328228275</v>
      </c>
      <c r="P37" s="38">
        <f t="shared" si="13"/>
        <v>89.385208343558418</v>
      </c>
      <c r="Q37" s="38">
        <f t="shared" si="14"/>
        <v>1.0000081708600632</v>
      </c>
      <c r="R37" s="38">
        <f t="shared" si="15"/>
        <v>0.23161678980577544</v>
      </c>
      <c r="S37" s="95">
        <f t="shared" si="19"/>
        <v>33.434821343813894</v>
      </c>
      <c r="T37" s="95">
        <f t="shared" si="16"/>
        <v>-88.015872171133125</v>
      </c>
      <c r="U37" s="96">
        <f t="shared" si="17"/>
        <v>51.673136542948356</v>
      </c>
      <c r="V37" s="96">
        <f t="shared" si="17"/>
        <v>-108.42277800262116</v>
      </c>
      <c r="W37" s="38">
        <f t="shared" si="20"/>
        <v>51.673136542948356</v>
      </c>
      <c r="X37" s="38">
        <f t="shared" si="21"/>
        <v>630.95734448019311</v>
      </c>
      <c r="Y37" s="38">
        <f t="shared" si="22"/>
        <v>-108.42277800262116</v>
      </c>
    </row>
    <row r="38" spans="1:25" x14ac:dyDescent="0.2">
      <c r="A38" s="38">
        <f t="shared" si="23"/>
        <v>31</v>
      </c>
      <c r="B38" s="38">
        <f t="shared" si="0"/>
        <v>724.43596007499013</v>
      </c>
      <c r="C38" s="38">
        <f t="shared" si="1"/>
        <v>1.0000091534214841</v>
      </c>
      <c r="D38" s="38">
        <f t="shared" si="2"/>
        <v>0.24514763293009309</v>
      </c>
      <c r="E38" s="38">
        <f t="shared" si="3"/>
        <v>1.0000039038434827</v>
      </c>
      <c r="F38" s="38">
        <f t="shared" si="4"/>
        <v>-0.16009697363280592</v>
      </c>
      <c r="G38" s="38">
        <f t="shared" si="5"/>
        <v>1.0876898765428842</v>
      </c>
      <c r="H38" s="38">
        <f t="shared" si="6"/>
        <v>23.164432857914374</v>
      </c>
      <c r="I38" s="38">
        <f t="shared" si="7"/>
        <v>0.99999993387280017</v>
      </c>
      <c r="J38" s="38">
        <f t="shared" si="8"/>
        <v>4.9127448888009101E-2</v>
      </c>
      <c r="K38" s="94">
        <f t="shared" si="9"/>
        <v>18.072991064855987</v>
      </c>
      <c r="L38" s="94">
        <f t="shared" si="18"/>
        <v>-23.128509647505094</v>
      </c>
      <c r="M38" s="38">
        <f t="shared" si="10"/>
        <v>1.0005147498312446</v>
      </c>
      <c r="N38" s="38">
        <f t="shared" si="11"/>
        <v>1.8379877415685879</v>
      </c>
      <c r="O38" s="38">
        <f t="shared" si="12"/>
        <v>107.003249241153</v>
      </c>
      <c r="P38" s="38">
        <f t="shared" si="13"/>
        <v>89.464533890567893</v>
      </c>
      <c r="Q38" s="38">
        <f t="shared" si="14"/>
        <v>1.0000107712773332</v>
      </c>
      <c r="R38" s="38">
        <f t="shared" si="15"/>
        <v>0.26593119499640433</v>
      </c>
      <c r="S38" s="95">
        <f t="shared" si="19"/>
        <v>32.235998187576136</v>
      </c>
      <c r="T38" s="95">
        <f t="shared" si="16"/>
        <v>-87.892477343995708</v>
      </c>
      <c r="U38" s="96">
        <f t="shared" si="17"/>
        <v>50.308989252432127</v>
      </c>
      <c r="V38" s="96">
        <f t="shared" si="17"/>
        <v>-111.02098699150081</v>
      </c>
      <c r="W38" s="38">
        <f t="shared" si="20"/>
        <v>50.308989252432127</v>
      </c>
      <c r="X38" s="38">
        <f t="shared" si="21"/>
        <v>724.43596007499013</v>
      </c>
      <c r="Y38" s="38">
        <f t="shared" si="22"/>
        <v>-111.02098699150081</v>
      </c>
    </row>
    <row r="39" spans="1:25" x14ac:dyDescent="0.2">
      <c r="A39" s="38">
        <f t="shared" si="23"/>
        <v>32</v>
      </c>
      <c r="B39" s="38">
        <f t="shared" ref="B39:B70" si="24">Fmn*10^(LOG(Fmx/Fmn)*1/N*A39)</f>
        <v>831.76377110267129</v>
      </c>
      <c r="C39" s="38">
        <f t="shared" ref="C39:C70" si="25">SQRT(1+(B39/Fzesr)^2)</f>
        <v>1.0000120665419767</v>
      </c>
      <c r="D39" s="38">
        <f t="shared" ref="D39:D70" si="26">DEGREES(ATAN2(1,B39/Fzesr))</f>
        <v>0.28146659592305817</v>
      </c>
      <c r="E39" s="38">
        <f t="shared" ref="E39:E70" si="27">SQRT(1+(B39/Fzrhp)^2)</f>
        <v>1.0000051462647805</v>
      </c>
      <c r="F39" s="38">
        <f t="shared" ref="F39:F70" si="28">DEGREES(ATAN2(1,-B39/Fzrhp))</f>
        <v>-0.18381576781655609</v>
      </c>
      <c r="G39" s="38">
        <f t="shared" ref="G39:G70" si="29">SQRT(1+(B39/Fpload)^2)</f>
        <v>1.1141509303272676</v>
      </c>
      <c r="H39" s="38">
        <f t="shared" ref="H39:H70" si="30">DEGREES(ATAN2(1,B39/Fpload))</f>
        <v>26.162847994260293</v>
      </c>
      <c r="I39" s="38">
        <f t="shared" ref="I39:I70" si="31">SQRT((1-(B39/(0.5*1000*F))^2)^2+(B39/(0.5*1000*F*Q))^2)</f>
        <v>0.99999991282741196</v>
      </c>
      <c r="J39" s="38">
        <f t="shared" ref="J39:J70" si="32">DEGREES(ATAN2((1-(B39/(0.5*1000*F))^2),(B39/(0.5*1000*F*Q))))</f>
        <v>5.6405861742406013E-2</v>
      </c>
      <c r="K39" s="94">
        <f t="shared" ref="K39:K70" si="33">20*LOG(Acm*C39*E39/(G39*I39))</f>
        <v>17.864248525665523</v>
      </c>
      <c r="L39" s="94">
        <f t="shared" si="18"/>
        <v>-26.121603027896196</v>
      </c>
      <c r="M39" s="38">
        <f t="shared" ref="M39:M70" si="34">SQRT(1+(B39/Fzea)^2)</f>
        <v>1.0006785168886478</v>
      </c>
      <c r="N39" s="38">
        <f t="shared" ref="N39:N70" si="35">DEGREES(ATAN2(1,B39/Fzea))</f>
        <v>2.1100619975007437</v>
      </c>
      <c r="O39" s="38">
        <f t="shared" ref="O39:O70" si="36">SQRT(1+(B39/Fpea)^2)</f>
        <v>122.85487288014667</v>
      </c>
      <c r="P39" s="38">
        <f t="shared" ref="P39:P70" si="37">DEGREES(ATAN2(1,B39/Fpea))</f>
        <v>89.533625237059269</v>
      </c>
      <c r="Q39" s="38">
        <f t="shared" ref="Q39:Q70" si="38">SQRT(1+(B39/Fp2ea)^2)</f>
        <v>1.0000141992845897</v>
      </c>
      <c r="R39" s="38">
        <f t="shared" ref="R39:R70" si="39">DEGREES(ATAN2(1,B39/Fp2ea))</f>
        <v>0.30532916682930716</v>
      </c>
      <c r="S39" s="95">
        <f t="shared" ref="S39:S70" si="40">IF(AddPole="NO",20*LOG(Aea*Afb*M39/O39),20*LOG(Aea*Afb*M39/(O39*Q39)))</f>
        <v>31.037481601143249</v>
      </c>
      <c r="T39" s="95">
        <f t="shared" ref="T39:T70" si="41">IF(AddPole="NO",N39-P39, N39-P39 -R39)</f>
        <v>-87.728892406387828</v>
      </c>
      <c r="U39" s="96">
        <f t="shared" ref="U39:V70" si="42">K39+S39</f>
        <v>48.901730126808772</v>
      </c>
      <c r="V39" s="96">
        <f t="shared" si="42"/>
        <v>-113.85049543428403</v>
      </c>
      <c r="W39" s="38">
        <f t="shared" si="20"/>
        <v>48.901730126808772</v>
      </c>
      <c r="X39" s="38">
        <f t="shared" si="21"/>
        <v>831.76377110267129</v>
      </c>
      <c r="Y39" s="38">
        <f t="shared" si="22"/>
        <v>-113.85049543428403</v>
      </c>
    </row>
    <row r="40" spans="1:25" x14ac:dyDescent="0.2">
      <c r="A40" s="38">
        <f t="shared" si="23"/>
        <v>33</v>
      </c>
      <c r="B40" s="38">
        <f t="shared" si="24"/>
        <v>954.99258602143652</v>
      </c>
      <c r="C40" s="38">
        <f t="shared" si="25"/>
        <v>1.0000159067697294</v>
      </c>
      <c r="D40" s="38">
        <f t="shared" si="26"/>
        <v>0.32316606409269394</v>
      </c>
      <c r="E40" s="38">
        <f t="shared" si="27"/>
        <v>1.0000067840926696</v>
      </c>
      <c r="F40" s="38">
        <f t="shared" si="28"/>
        <v>-0.21104850906693523</v>
      </c>
      <c r="G40" s="38">
        <f t="shared" si="29"/>
        <v>1.1481018791200146</v>
      </c>
      <c r="H40" s="38">
        <f t="shared" si="30"/>
        <v>29.424613817681983</v>
      </c>
      <c r="I40" s="38">
        <f t="shared" si="31"/>
        <v>0.99999988508421533</v>
      </c>
      <c r="J40" s="38">
        <f t="shared" si="32"/>
        <v>6.4762599559226877E-2</v>
      </c>
      <c r="K40" s="94">
        <f t="shared" si="33"/>
        <v>17.603568337710517</v>
      </c>
      <c r="L40" s="94">
        <f t="shared" si="18"/>
        <v>-29.377258862215452</v>
      </c>
      <c r="M40" s="38">
        <f t="shared" si="34"/>
        <v>1.0008943629710474</v>
      </c>
      <c r="N40" s="38">
        <f t="shared" si="35"/>
        <v>2.4223269333418584</v>
      </c>
      <c r="O40" s="38">
        <f t="shared" si="36"/>
        <v>141.05513909155906</v>
      </c>
      <c r="P40" s="38">
        <f t="shared" si="37"/>
        <v>89.593802396422802</v>
      </c>
      <c r="Q40" s="38">
        <f t="shared" si="38"/>
        <v>1.0000187182602998</v>
      </c>
      <c r="R40" s="38">
        <f t="shared" si="39"/>
        <v>0.35056373252885648</v>
      </c>
      <c r="S40" s="95">
        <f t="shared" si="40"/>
        <v>29.839385159783724</v>
      </c>
      <c r="T40" s="95">
        <f t="shared" si="41"/>
        <v>-87.522039195609793</v>
      </c>
      <c r="U40" s="96">
        <f t="shared" si="42"/>
        <v>47.442953497494244</v>
      </c>
      <c r="V40" s="96">
        <f t="shared" si="42"/>
        <v>-116.89929805782525</v>
      </c>
      <c r="W40" s="38">
        <f t="shared" si="20"/>
        <v>47.442953497494244</v>
      </c>
      <c r="X40" s="38">
        <f t="shared" si="21"/>
        <v>954.99258602143652</v>
      </c>
      <c r="Y40" s="38">
        <f t="shared" si="22"/>
        <v>-116.89929805782525</v>
      </c>
    </row>
    <row r="41" spans="1:25" x14ac:dyDescent="0.2">
      <c r="A41" s="38">
        <f t="shared" si="23"/>
        <v>34</v>
      </c>
      <c r="B41" s="38">
        <f t="shared" si="24"/>
        <v>1096.4781961431861</v>
      </c>
      <c r="C41" s="38">
        <f t="shared" si="25"/>
        <v>1.0000209691533077</v>
      </c>
      <c r="D41" s="38">
        <f t="shared" si="26"/>
        <v>0.3710430346062954</v>
      </c>
      <c r="E41" s="38">
        <f t="shared" si="27"/>
        <v>1.0000089431662225</v>
      </c>
      <c r="F41" s="38">
        <f t="shared" si="28"/>
        <v>-0.24231576121344547</v>
      </c>
      <c r="G41" s="38">
        <f t="shared" si="29"/>
        <v>1.1913804863305608</v>
      </c>
      <c r="H41" s="38">
        <f t="shared" si="30"/>
        <v>32.927146854853817</v>
      </c>
      <c r="I41" s="38">
        <f t="shared" si="31"/>
        <v>0.99999984851160884</v>
      </c>
      <c r="J41" s="38">
        <f t="shared" si="32"/>
        <v>7.4357420980039668E-2</v>
      </c>
      <c r="K41" s="94">
        <f t="shared" si="33"/>
        <v>17.282230284570069</v>
      </c>
      <c r="L41" s="94">
        <f t="shared" si="18"/>
        <v>-32.872777002441012</v>
      </c>
      <c r="M41" s="38">
        <f t="shared" si="34"/>
        <v>1.0011788324173418</v>
      </c>
      <c r="N41" s="38">
        <f t="shared" si="35"/>
        <v>2.7806764465795646</v>
      </c>
      <c r="O41" s="38">
        <f t="shared" si="36"/>
        <v>161.95198621660228</v>
      </c>
      <c r="P41" s="38">
        <f t="shared" si="37"/>
        <v>89.646215246015089</v>
      </c>
      <c r="Q41" s="38">
        <f t="shared" si="38"/>
        <v>1.0000246753992776</v>
      </c>
      <c r="R41" s="38">
        <f t="shared" si="39"/>
        <v>0.4024994205940724</v>
      </c>
      <c r="S41" s="95">
        <f t="shared" si="40"/>
        <v>28.641854426542412</v>
      </c>
      <c r="T41" s="95">
        <f t="shared" si="41"/>
        <v>-87.268038220029595</v>
      </c>
      <c r="U41" s="96">
        <f t="shared" si="42"/>
        <v>45.924084711112485</v>
      </c>
      <c r="V41" s="96">
        <f t="shared" si="42"/>
        <v>-120.14081522247061</v>
      </c>
      <c r="W41" s="38">
        <f t="shared" si="20"/>
        <v>45.924084711112485</v>
      </c>
      <c r="X41" s="38">
        <f t="shared" si="21"/>
        <v>1096.4781961431861</v>
      </c>
      <c r="Y41" s="38">
        <f t="shared" si="22"/>
        <v>-120.14081522247061</v>
      </c>
    </row>
    <row r="42" spans="1:25" x14ac:dyDescent="0.2">
      <c r="A42" s="38">
        <f t="shared" si="23"/>
        <v>35</v>
      </c>
      <c r="B42" s="38">
        <f t="shared" si="24"/>
        <v>1258.9254117941678</v>
      </c>
      <c r="C42" s="38">
        <f t="shared" si="25"/>
        <v>1.0000276426354144</v>
      </c>
      <c r="D42" s="38">
        <f t="shared" si="26"/>
        <v>0.42601250861940826</v>
      </c>
      <c r="E42" s="38">
        <f t="shared" si="27"/>
        <v>1.0000117893723592</v>
      </c>
      <c r="F42" s="38">
        <f t="shared" si="28"/>
        <v>-0.27821519088131424</v>
      </c>
      <c r="G42" s="38">
        <f t="shared" si="29"/>
        <v>1.2461381742975624</v>
      </c>
      <c r="H42" s="38">
        <f t="shared" si="30"/>
        <v>36.632492346507199</v>
      </c>
      <c r="I42" s="38">
        <f t="shared" si="31"/>
        <v>0.99999980029960989</v>
      </c>
      <c r="J42" s="38">
        <f t="shared" si="32"/>
        <v>8.5373753926456061E-2</v>
      </c>
      <c r="K42" s="94">
        <f t="shared" si="33"/>
        <v>16.891999029803515</v>
      </c>
      <c r="L42" s="94">
        <f t="shared" si="18"/>
        <v>-36.570068782695557</v>
      </c>
      <c r="M42" s="38">
        <f t="shared" si="34"/>
        <v>1.0015537127211946</v>
      </c>
      <c r="N42" s="38">
        <f t="shared" si="35"/>
        <v>3.1918467242512594</v>
      </c>
      <c r="O42" s="38">
        <f t="shared" si="36"/>
        <v>185.94490370281028</v>
      </c>
      <c r="P42" s="38">
        <f t="shared" si="37"/>
        <v>89.691865415171634</v>
      </c>
      <c r="Q42" s="38">
        <f t="shared" si="38"/>
        <v>1.0000325283836533</v>
      </c>
      <c r="R42" s="38">
        <f t="shared" si="39"/>
        <v>0.46212874805666765</v>
      </c>
      <c r="S42" s="95">
        <f t="shared" si="40"/>
        <v>27.445077919843939</v>
      </c>
      <c r="T42" s="95">
        <f t="shared" si="41"/>
        <v>-86.962147438977041</v>
      </c>
      <c r="U42" s="96">
        <f t="shared" si="42"/>
        <v>44.337076949647454</v>
      </c>
      <c r="V42" s="96">
        <f t="shared" si="42"/>
        <v>-123.5322162216726</v>
      </c>
      <c r="W42" s="38">
        <f t="shared" si="20"/>
        <v>44.337076949647454</v>
      </c>
      <c r="X42" s="38">
        <f t="shared" si="21"/>
        <v>1258.9254117941678</v>
      </c>
      <c r="Y42" s="38">
        <f t="shared" si="22"/>
        <v>-123.5322162216726</v>
      </c>
    </row>
    <row r="43" spans="1:25" x14ac:dyDescent="0.2">
      <c r="A43" s="38">
        <f t="shared" si="23"/>
        <v>36</v>
      </c>
      <c r="B43" s="38">
        <f t="shared" si="24"/>
        <v>1445.4397707459284</v>
      </c>
      <c r="C43" s="38">
        <f t="shared" si="25"/>
        <v>1.0000364399301223</v>
      </c>
      <c r="D43" s="38">
        <f t="shared" si="26"/>
        <v>0.48912493598252943</v>
      </c>
      <c r="E43" s="38">
        <f t="shared" si="27"/>
        <v>1.0000155413904004</v>
      </c>
      <c r="F43" s="38">
        <f t="shared" si="28"/>
        <v>-0.3194329799606328</v>
      </c>
      <c r="G43" s="38">
        <f t="shared" si="29"/>
        <v>1.3148429111997071</v>
      </c>
      <c r="H43" s="38">
        <f t="shared" si="30"/>
        <v>40.487544740009241</v>
      </c>
      <c r="I43" s="38">
        <f t="shared" si="31"/>
        <v>0.99999973674396647</v>
      </c>
      <c r="J43" s="38">
        <f t="shared" si="32"/>
        <v>9.8022202525274063E-2</v>
      </c>
      <c r="K43" s="94">
        <f t="shared" si="33"/>
        <v>16.425955204179633</v>
      </c>
      <c r="L43" s="94">
        <f t="shared" si="18"/>
        <v>-40.415874986512613</v>
      </c>
      <c r="M43" s="38">
        <f t="shared" si="34"/>
        <v>1.002047686904854</v>
      </c>
      <c r="N43" s="38">
        <f t="shared" si="35"/>
        <v>3.6635253104464907</v>
      </c>
      <c r="O43" s="38">
        <f t="shared" si="36"/>
        <v>213.49256922868963</v>
      </c>
      <c r="P43" s="38">
        <f t="shared" si="37"/>
        <v>89.731625371165464</v>
      </c>
      <c r="Q43" s="38">
        <f t="shared" si="38"/>
        <v>1.000042880538996</v>
      </c>
      <c r="R43" s="38">
        <f t="shared" si="39"/>
        <v>0.53059113392646695</v>
      </c>
      <c r="S43" s="95">
        <f t="shared" si="40"/>
        <v>26.24930122326635</v>
      </c>
      <c r="T43" s="95">
        <f t="shared" si="41"/>
        <v>-86.59869119464544</v>
      </c>
      <c r="U43" s="96">
        <f t="shared" si="42"/>
        <v>42.675256427445987</v>
      </c>
      <c r="V43" s="96">
        <f t="shared" si="42"/>
        <v>-127.01456618115805</v>
      </c>
      <c r="W43" s="38">
        <f t="shared" si="20"/>
        <v>42.675256427445987</v>
      </c>
      <c r="X43" s="38">
        <f t="shared" si="21"/>
        <v>1445.4397707459284</v>
      </c>
      <c r="Y43" s="38">
        <f t="shared" si="22"/>
        <v>-127.01456618115805</v>
      </c>
    </row>
    <row r="44" spans="1:25" x14ac:dyDescent="0.2">
      <c r="A44" s="38">
        <f t="shared" si="23"/>
        <v>37</v>
      </c>
      <c r="B44" s="38">
        <f t="shared" si="24"/>
        <v>1659.5869074375607</v>
      </c>
      <c r="C44" s="38">
        <f t="shared" si="25"/>
        <v>1.0000480369049001</v>
      </c>
      <c r="D44" s="38">
        <f t="shared" si="26"/>
        <v>0.56158622492961363</v>
      </c>
      <c r="E44" s="38">
        <f t="shared" si="27"/>
        <v>1.0000204874919558</v>
      </c>
      <c r="F44" s="38">
        <f t="shared" si="28"/>
        <v>-0.36675692343666405</v>
      </c>
      <c r="G44" s="38">
        <f t="shared" si="29"/>
        <v>1.4002718212698519</v>
      </c>
      <c r="H44" s="38">
        <f t="shared" si="30"/>
        <v>44.426659076573337</v>
      </c>
      <c r="I44" s="38">
        <f t="shared" si="31"/>
        <v>0.99999965296157078</v>
      </c>
      <c r="J44" s="38">
        <f t="shared" si="32"/>
        <v>0.11254457371826704</v>
      </c>
      <c r="K44" s="94">
        <f t="shared" si="33"/>
        <v>15.879330018371531</v>
      </c>
      <c r="L44" s="94">
        <f t="shared" si="18"/>
        <v>-44.344374348798652</v>
      </c>
      <c r="M44" s="38">
        <f t="shared" si="34"/>
        <v>1.0026984998495876</v>
      </c>
      <c r="N44" s="38">
        <f t="shared" si="35"/>
        <v>4.204468411796638</v>
      </c>
      <c r="O44" s="38">
        <f t="shared" si="36"/>
        <v>245.12161734215726</v>
      </c>
      <c r="P44" s="38">
        <f t="shared" si="37"/>
        <v>89.766255057116709</v>
      </c>
      <c r="Q44" s="38">
        <f t="shared" si="38"/>
        <v>1.0000565271737898</v>
      </c>
      <c r="R44" s="38">
        <f t="shared" si="39"/>
        <v>0.60919458982454977</v>
      </c>
      <c r="S44" s="95">
        <f t="shared" si="40"/>
        <v>25.054845206221703</v>
      </c>
      <c r="T44" s="95">
        <f t="shared" si="41"/>
        <v>-86.170981235144623</v>
      </c>
      <c r="U44" s="96">
        <f t="shared" si="42"/>
        <v>40.934175224593233</v>
      </c>
      <c r="V44" s="96">
        <f t="shared" si="42"/>
        <v>-130.51535558394329</v>
      </c>
      <c r="W44" s="38">
        <f t="shared" si="20"/>
        <v>40.934175224593233</v>
      </c>
      <c r="X44" s="38">
        <f t="shared" si="21"/>
        <v>1659.5869074375607</v>
      </c>
      <c r="Y44" s="38">
        <f t="shared" si="22"/>
        <v>-130.51535558394329</v>
      </c>
    </row>
    <row r="45" spans="1:25" x14ac:dyDescent="0.2">
      <c r="A45" s="38">
        <f t="shared" si="23"/>
        <v>38</v>
      </c>
      <c r="B45" s="38">
        <f t="shared" si="24"/>
        <v>1905.460717963248</v>
      </c>
      <c r="C45" s="38">
        <f t="shared" si="25"/>
        <v>1.0000633244895563</v>
      </c>
      <c r="D45" s="38">
        <f t="shared" si="26"/>
        <v>0.64478068674430822</v>
      </c>
      <c r="E45" s="38">
        <f t="shared" si="27"/>
        <v>1.0000270076862798</v>
      </c>
      <c r="F45" s="38">
        <f t="shared" si="28"/>
        <v>-0.42109145948199578</v>
      </c>
      <c r="G45" s="38">
        <f t="shared" si="29"/>
        <v>1.5054998807817257</v>
      </c>
      <c r="H45" s="38">
        <f t="shared" si="30"/>
        <v>48.376627458163313</v>
      </c>
      <c r="I45" s="38">
        <f t="shared" si="31"/>
        <v>0.99999954251531376</v>
      </c>
      <c r="J45" s="38">
        <f t="shared" si="32"/>
        <v>0.12921850061191775</v>
      </c>
      <c r="K45" s="94">
        <f t="shared" si="33"/>
        <v>15.250152865028424</v>
      </c>
      <c r="L45" s="94">
        <f t="shared" si="18"/>
        <v>-48.28215673151292</v>
      </c>
      <c r="M45" s="38">
        <f t="shared" si="34"/>
        <v>1.0035557934848791</v>
      </c>
      <c r="N45" s="38">
        <f t="shared" si="35"/>
        <v>4.8246237436550308</v>
      </c>
      <c r="O45" s="38">
        <f t="shared" si="36"/>
        <v>281.43670724473077</v>
      </c>
      <c r="P45" s="38">
        <f t="shared" si="37"/>
        <v>89.796416392742287</v>
      </c>
      <c r="Q45" s="38">
        <f t="shared" si="38"/>
        <v>1.0000745166575207</v>
      </c>
      <c r="R45" s="38">
        <f t="shared" si="39"/>
        <v>0.69944058647273688</v>
      </c>
      <c r="S45" s="95">
        <f t="shared" si="40"/>
        <v>23.862129557048224</v>
      </c>
      <c r="T45" s="95">
        <f t="shared" si="41"/>
        <v>-85.671233235559995</v>
      </c>
      <c r="U45" s="96">
        <f t="shared" si="42"/>
        <v>39.112282422076646</v>
      </c>
      <c r="V45" s="96">
        <f t="shared" si="42"/>
        <v>-133.95338996707292</v>
      </c>
      <c r="W45" s="38">
        <f t="shared" si="20"/>
        <v>39.112282422076646</v>
      </c>
      <c r="X45" s="38">
        <f t="shared" si="21"/>
        <v>1905.460717963248</v>
      </c>
      <c r="Y45" s="38">
        <f t="shared" si="22"/>
        <v>-133.95338996707292</v>
      </c>
    </row>
    <row r="46" spans="1:25" x14ac:dyDescent="0.2">
      <c r="A46" s="38">
        <f t="shared" si="23"/>
        <v>39</v>
      </c>
      <c r="B46" s="38">
        <f t="shared" si="24"/>
        <v>2187.7616239495524</v>
      </c>
      <c r="C46" s="38">
        <f t="shared" si="25"/>
        <v>1.0000834770939593</v>
      </c>
      <c r="D46" s="38">
        <f t="shared" si="26"/>
        <v>0.74029733507902695</v>
      </c>
      <c r="E46" s="38">
        <f t="shared" si="27"/>
        <v>1.0000356029114259</v>
      </c>
      <c r="F46" s="38">
        <f t="shared" si="28"/>
        <v>-0.48347491385749802</v>
      </c>
      <c r="G46" s="38">
        <f t="shared" si="29"/>
        <v>1.6338945998559407</v>
      </c>
      <c r="H46" s="38">
        <f t="shared" si="30"/>
        <v>52.263237604681748</v>
      </c>
      <c r="I46" s="38">
        <f t="shared" si="31"/>
        <v>0.9999993969195744</v>
      </c>
      <c r="J46" s="38">
        <f t="shared" si="32"/>
        <v>0.14836275107032121</v>
      </c>
      <c r="K46" s="94">
        <f t="shared" si="33"/>
        <v>14.539537576101509</v>
      </c>
      <c r="L46" s="94">
        <f t="shared" si="18"/>
        <v>-52.154777934530543</v>
      </c>
      <c r="M46" s="38">
        <f t="shared" si="34"/>
        <v>1.004684808805399</v>
      </c>
      <c r="N46" s="38">
        <f t="shared" si="35"/>
        <v>5.535253953998736</v>
      </c>
      <c r="O46" s="38">
        <f t="shared" si="36"/>
        <v>323.13208218945738</v>
      </c>
      <c r="P46" s="38">
        <f t="shared" si="37"/>
        <v>89.822685910414577</v>
      </c>
      <c r="Q46" s="38">
        <f t="shared" si="38"/>
        <v>1.0000982309212179</v>
      </c>
      <c r="R46" s="38">
        <f t="shared" si="39"/>
        <v>0.80305254721776242</v>
      </c>
      <c r="S46" s="95">
        <f t="shared" si="40"/>
        <v>22.671703096271965</v>
      </c>
      <c r="T46" s="95">
        <f t="shared" si="41"/>
        <v>-85.090484503633604</v>
      </c>
      <c r="U46" s="96">
        <f t="shared" si="42"/>
        <v>37.211240672373478</v>
      </c>
      <c r="V46" s="96">
        <f t="shared" si="42"/>
        <v>-137.24526243816416</v>
      </c>
      <c r="W46" s="38">
        <f t="shared" si="20"/>
        <v>37.211240672373478</v>
      </c>
      <c r="X46" s="38">
        <f t="shared" si="21"/>
        <v>2187.7616239495524</v>
      </c>
      <c r="Y46" s="38">
        <f t="shared" si="22"/>
        <v>-137.24526243816416</v>
      </c>
    </row>
    <row r="47" spans="1:25" x14ac:dyDescent="0.2">
      <c r="A47" s="38">
        <f t="shared" si="23"/>
        <v>40</v>
      </c>
      <c r="B47" s="38">
        <f t="shared" si="24"/>
        <v>2511.8864315095807</v>
      </c>
      <c r="C47" s="38">
        <f t="shared" si="25"/>
        <v>1.0001100427800071</v>
      </c>
      <c r="D47" s="38">
        <f t="shared" si="26"/>
        <v>0.84996001400965471</v>
      </c>
      <c r="E47" s="38">
        <f t="shared" si="27"/>
        <v>1.0000469335120117</v>
      </c>
      <c r="F47" s="38">
        <f t="shared" si="28"/>
        <v>-0.55509928028728295</v>
      </c>
      <c r="G47" s="38">
        <f t="shared" si="29"/>
        <v>1.7891273555212264</v>
      </c>
      <c r="H47" s="38">
        <f t="shared" si="30"/>
        <v>56.018049948543265</v>
      </c>
      <c r="I47" s="38">
        <f t="shared" si="31"/>
        <v>0.99999920498837114</v>
      </c>
      <c r="J47" s="38">
        <f t="shared" si="32"/>
        <v>0.17034332321485618</v>
      </c>
      <c r="K47" s="94">
        <f t="shared" si="33"/>
        <v>13.751524006402807</v>
      </c>
      <c r="L47" s="94">
        <f t="shared" si="18"/>
        <v>-55.89353253803575</v>
      </c>
      <c r="M47" s="38">
        <f t="shared" si="34"/>
        <v>1.0061712050666594</v>
      </c>
      <c r="N47" s="38">
        <f t="shared" si="35"/>
        <v>6.3490522423588258</v>
      </c>
      <c r="O47" s="38">
        <f t="shared" si="36"/>
        <v>371.0048414760617</v>
      </c>
      <c r="P47" s="38">
        <f t="shared" si="37"/>
        <v>89.845565764959218</v>
      </c>
      <c r="Q47" s="38">
        <f t="shared" si="38"/>
        <v>1.0001294915499357</v>
      </c>
      <c r="R47" s="38">
        <f t="shared" si="39"/>
        <v>0.92200847670134289</v>
      </c>
      <c r="S47" s="95">
        <f t="shared" si="40"/>
        <v>21.484282617730571</v>
      </c>
      <c r="T47" s="95">
        <f t="shared" si="41"/>
        <v>-84.418521999301731</v>
      </c>
      <c r="U47" s="96">
        <f t="shared" si="42"/>
        <v>35.235806624133374</v>
      </c>
      <c r="V47" s="96">
        <f t="shared" si="42"/>
        <v>-140.31205453733747</v>
      </c>
      <c r="W47" s="38">
        <f t="shared" si="20"/>
        <v>35.235806624133374</v>
      </c>
      <c r="X47" s="38">
        <f t="shared" si="21"/>
        <v>2511.8864315095807</v>
      </c>
      <c r="Y47" s="38">
        <f t="shared" si="22"/>
        <v>-140.31205453733747</v>
      </c>
    </row>
    <row r="48" spans="1:25" x14ac:dyDescent="0.2">
      <c r="A48" s="38">
        <f t="shared" si="23"/>
        <v>41</v>
      </c>
      <c r="B48" s="38">
        <f t="shared" si="24"/>
        <v>2884.0315031266073</v>
      </c>
      <c r="C48" s="38">
        <f t="shared" si="25"/>
        <v>1.0001450620964256</v>
      </c>
      <c r="D48" s="38">
        <f t="shared" si="26"/>
        <v>0.97586188740018964</v>
      </c>
      <c r="E48" s="38">
        <f t="shared" si="27"/>
        <v>1.0000618699564259</v>
      </c>
      <c r="F48" s="38">
        <f t="shared" si="28"/>
        <v>-0.63733290284875099</v>
      </c>
      <c r="G48" s="38">
        <f t="shared" si="29"/>
        <v>1.9752094467759118</v>
      </c>
      <c r="H48" s="38">
        <f t="shared" si="30"/>
        <v>59.583945500794975</v>
      </c>
      <c r="I48" s="38">
        <f t="shared" si="31"/>
        <v>0.9999989519761342</v>
      </c>
      <c r="J48" s="38">
        <f t="shared" si="32"/>
        <v>0.19558044462914584</v>
      </c>
      <c r="K48" s="94">
        <f t="shared" si="33"/>
        <v>12.892522109460959</v>
      </c>
      <c r="L48" s="94">
        <f t="shared" si="18"/>
        <v>-59.440996960872681</v>
      </c>
      <c r="M48" s="38">
        <f t="shared" si="34"/>
        <v>1.0081273081894515</v>
      </c>
      <c r="N48" s="38">
        <f t="shared" si="35"/>
        <v>7.2802367569156532</v>
      </c>
      <c r="O48" s="38">
        <f t="shared" si="36"/>
        <v>425.97017876685737</v>
      </c>
      <c r="P48" s="38">
        <f t="shared" si="37"/>
        <v>89.8654933255971</v>
      </c>
      <c r="Q48" s="38">
        <f t="shared" si="38"/>
        <v>1.0001706995914188</v>
      </c>
      <c r="R48" s="38">
        <f t="shared" si="39"/>
        <v>1.0585782930845451</v>
      </c>
      <c r="S48" s="95">
        <f t="shared" si="40"/>
        <v>20.300802254266838</v>
      </c>
      <c r="T48" s="95">
        <f t="shared" si="41"/>
        <v>-83.643834861765995</v>
      </c>
      <c r="U48" s="96">
        <f t="shared" si="42"/>
        <v>33.193324363727797</v>
      </c>
      <c r="V48" s="96">
        <f t="shared" si="42"/>
        <v>-143.08483182263868</v>
      </c>
      <c r="W48" s="38">
        <f t="shared" si="20"/>
        <v>33.193324363727797</v>
      </c>
      <c r="X48" s="38">
        <f t="shared" si="21"/>
        <v>2884.0315031266073</v>
      </c>
      <c r="Y48" s="38">
        <f t="shared" si="22"/>
        <v>-143.08483182263868</v>
      </c>
    </row>
    <row r="49" spans="1:25" x14ac:dyDescent="0.2">
      <c r="A49" s="38">
        <f t="shared" si="23"/>
        <v>42</v>
      </c>
      <c r="B49" s="38">
        <f t="shared" si="24"/>
        <v>3311.3112148259138</v>
      </c>
      <c r="C49" s="38">
        <f t="shared" si="25"/>
        <v>1.0001912246727307</v>
      </c>
      <c r="D49" s="38">
        <f t="shared" si="26"/>
        <v>1.1204048833026377</v>
      </c>
      <c r="E49" s="38">
        <f t="shared" si="27"/>
        <v>1.0000815596840533</v>
      </c>
      <c r="F49" s="38">
        <f t="shared" si="28"/>
        <v>-0.73174647568779994</v>
      </c>
      <c r="G49" s="38">
        <f t="shared" si="29"/>
        <v>2.1965561962690772</v>
      </c>
      <c r="H49" s="38">
        <f t="shared" si="30"/>
        <v>62.918457948178855</v>
      </c>
      <c r="I49" s="38">
        <f t="shared" si="31"/>
        <v>0.99999861844515892</v>
      </c>
      <c r="J49" s="38">
        <f t="shared" si="32"/>
        <v>0.22455660948259562</v>
      </c>
      <c r="K49" s="94">
        <f t="shared" si="33"/>
        <v>11.970513619984317</v>
      </c>
      <c r="L49" s="94">
        <f t="shared" si="18"/>
        <v>-62.754356150046611</v>
      </c>
      <c r="M49" s="38">
        <f t="shared" si="34"/>
        <v>1.0107001694711173</v>
      </c>
      <c r="N49" s="38">
        <f t="shared" si="35"/>
        <v>8.3446031442346342</v>
      </c>
      <c r="O49" s="38">
        <f t="shared" si="36"/>
        <v>489.07887803754488</v>
      </c>
      <c r="P49" s="38">
        <f t="shared" si="37"/>
        <v>89.882849532032182</v>
      </c>
      <c r="Q49" s="38">
        <f t="shared" si="38"/>
        <v>1.0002250197756204</v>
      </c>
      <c r="R49" s="38">
        <f t="shared" si="39"/>
        <v>1.2153664938101811</v>
      </c>
      <c r="S49" s="95">
        <f t="shared" si="40"/>
        <v>19.12247549553183</v>
      </c>
      <c r="T49" s="95">
        <f t="shared" si="41"/>
        <v>-82.753612881607722</v>
      </c>
      <c r="U49" s="96">
        <f t="shared" si="42"/>
        <v>31.092989115516147</v>
      </c>
      <c r="V49" s="96">
        <f t="shared" si="42"/>
        <v>-145.50796903165434</v>
      </c>
      <c r="W49" s="38">
        <f t="shared" si="20"/>
        <v>31.092989115516147</v>
      </c>
      <c r="X49" s="38">
        <f t="shared" si="21"/>
        <v>3311.3112148259138</v>
      </c>
      <c r="Y49" s="38">
        <f t="shared" si="22"/>
        <v>-145.50796903165434</v>
      </c>
    </row>
    <row r="50" spans="1:25" x14ac:dyDescent="0.2">
      <c r="A50" s="38">
        <f t="shared" si="23"/>
        <v>43</v>
      </c>
      <c r="B50" s="38">
        <f t="shared" si="24"/>
        <v>3801.8939632056163</v>
      </c>
      <c r="C50" s="38">
        <f t="shared" si="25"/>
        <v>1.0002520755446305</v>
      </c>
      <c r="D50" s="38">
        <f t="shared" si="26"/>
        <v>1.2863447482628096</v>
      </c>
      <c r="E50" s="38">
        <f t="shared" si="27"/>
        <v>1.000107515207848</v>
      </c>
      <c r="F50" s="38">
        <f t="shared" si="28"/>
        <v>-0.84014282939574458</v>
      </c>
      <c r="G50" s="38">
        <f t="shared" si="29"/>
        <v>2.4580777679741792</v>
      </c>
      <c r="H50" s="38">
        <f t="shared" si="30"/>
        <v>65.994649371514186</v>
      </c>
      <c r="I50" s="38">
        <f t="shared" si="31"/>
        <v>0.99999817877284636</v>
      </c>
      <c r="J50" s="38">
        <f t="shared" si="32"/>
        <v>0.2578258078374277</v>
      </c>
      <c r="K50" s="94">
        <f t="shared" si="33"/>
        <v>10.994205287169223</v>
      </c>
      <c r="L50" s="94">
        <f t="shared" si="18"/>
        <v>-65.806273260484559</v>
      </c>
      <c r="M50" s="38">
        <f t="shared" si="34"/>
        <v>1.0140818867393921</v>
      </c>
      <c r="N50" s="38">
        <f t="shared" si="35"/>
        <v>9.5595046491943965</v>
      </c>
      <c r="O50" s="38">
        <f t="shared" si="36"/>
        <v>561.53740163668829</v>
      </c>
      <c r="P50" s="38">
        <f t="shared" si="37"/>
        <v>89.897966173526143</v>
      </c>
      <c r="Q50" s="38">
        <f t="shared" si="38"/>
        <v>1.0002966232170929</v>
      </c>
      <c r="R50" s="38">
        <f t="shared" si="39"/>
        <v>1.3953608440366838</v>
      </c>
      <c r="S50" s="95">
        <f t="shared" si="40"/>
        <v>17.950871841666306</v>
      </c>
      <c r="T50" s="95">
        <f t="shared" si="41"/>
        <v>-81.733822368368436</v>
      </c>
      <c r="U50" s="96">
        <f t="shared" si="42"/>
        <v>28.945077128835528</v>
      </c>
      <c r="V50" s="96">
        <f t="shared" si="42"/>
        <v>-147.54009562885301</v>
      </c>
      <c r="W50" s="38">
        <f t="shared" si="20"/>
        <v>28.945077128835528</v>
      </c>
      <c r="X50" s="38">
        <f t="shared" si="21"/>
        <v>3801.8939632056163</v>
      </c>
      <c r="Y50" s="38">
        <f t="shared" si="22"/>
        <v>-147.54009562885301</v>
      </c>
    </row>
    <row r="51" spans="1:25" x14ac:dyDescent="0.2">
      <c r="A51" s="38">
        <f t="shared" si="23"/>
        <v>44</v>
      </c>
      <c r="B51" s="38">
        <f t="shared" si="24"/>
        <v>4365.1583224016586</v>
      </c>
      <c r="C51" s="38">
        <f t="shared" si="25"/>
        <v>1.0003322869604099</v>
      </c>
      <c r="D51" s="38">
        <f t="shared" si="26"/>
        <v>1.4768424229369894</v>
      </c>
      <c r="E51" s="38">
        <f t="shared" si="27"/>
        <v>1.0001417302227222</v>
      </c>
      <c r="F51" s="38">
        <f t="shared" si="28"/>
        <v>-0.96459103157406334</v>
      </c>
      <c r="G51" s="38">
        <f t="shared" si="29"/>
        <v>2.7652926345033793</v>
      </c>
      <c r="H51" s="38">
        <f t="shared" si="30"/>
        <v>68.799950221386496</v>
      </c>
      <c r="I51" s="38">
        <f t="shared" si="31"/>
        <v>0.99999759918427134</v>
      </c>
      <c r="J51" s="38">
        <f t="shared" si="32"/>
        <v>0.29602412451248178</v>
      </c>
      <c r="K51" s="94">
        <f t="shared" si="33"/>
        <v>9.9722944157370446</v>
      </c>
      <c r="L51" s="94">
        <f t="shared" si="18"/>
        <v>-68.583722954536057</v>
      </c>
      <c r="M51" s="38">
        <f t="shared" si="34"/>
        <v>1.018522701695312</v>
      </c>
      <c r="N51" s="38">
        <f t="shared" si="35"/>
        <v>10.94371597472311</v>
      </c>
      <c r="O51" s="38">
        <f t="shared" si="36"/>
        <v>644.73095448155755</v>
      </c>
      <c r="P51" s="38">
        <f t="shared" si="37"/>
        <v>89.911132229517349</v>
      </c>
      <c r="Q51" s="38">
        <f t="shared" si="38"/>
        <v>1.0003910071050961</v>
      </c>
      <c r="R51" s="38">
        <f t="shared" si="39"/>
        <v>1.6019878273874892</v>
      </c>
      <c r="S51" s="95">
        <f t="shared" si="40"/>
        <v>16.788009397171546</v>
      </c>
      <c r="T51" s="95">
        <f t="shared" si="41"/>
        <v>-80.569404082181734</v>
      </c>
      <c r="U51" s="96">
        <f t="shared" si="42"/>
        <v>26.760303812908589</v>
      </c>
      <c r="V51" s="96">
        <f t="shared" si="42"/>
        <v>-149.15312703671779</v>
      </c>
      <c r="W51" s="38">
        <f t="shared" si="20"/>
        <v>26.760303812908589</v>
      </c>
      <c r="X51" s="38">
        <f t="shared" si="21"/>
        <v>4365.1583224016586</v>
      </c>
      <c r="Y51" s="38">
        <f t="shared" si="22"/>
        <v>-149.15312703671779</v>
      </c>
    </row>
    <row r="52" spans="1:25" x14ac:dyDescent="0.2">
      <c r="A52" s="38">
        <f t="shared" si="23"/>
        <v>45</v>
      </c>
      <c r="B52" s="38">
        <f t="shared" si="24"/>
        <v>5011.8723362727233</v>
      </c>
      <c r="C52" s="38">
        <f t="shared" si="25"/>
        <v>1.0004380163729345</v>
      </c>
      <c r="D52" s="38">
        <f t="shared" si="26"/>
        <v>1.6955224947455851</v>
      </c>
      <c r="E52" s="38">
        <f t="shared" si="27"/>
        <v>1.0001868326081613</v>
      </c>
      <c r="F52" s="38">
        <f t="shared" si="28"/>
        <v>-1.1074653901219049</v>
      </c>
      <c r="G52" s="38">
        <f t="shared" si="29"/>
        <v>3.1244593199652346</v>
      </c>
      <c r="H52" s="38">
        <f t="shared" si="30"/>
        <v>71.333726224658477</v>
      </c>
      <c r="I52" s="38">
        <f t="shared" si="31"/>
        <v>0.99999683515929949</v>
      </c>
      <c r="J52" s="38">
        <f t="shared" si="32"/>
        <v>0.33988191153913122</v>
      </c>
      <c r="K52" s="94">
        <f t="shared" si="33"/>
        <v>8.9129351883124581</v>
      </c>
      <c r="L52" s="94">
        <f t="shared" si="18"/>
        <v>-71.085551031573928</v>
      </c>
      <c r="M52" s="38">
        <f t="shared" si="34"/>
        <v>1.0243474185972801</v>
      </c>
      <c r="N52" s="38">
        <f t="shared" si="35"/>
        <v>12.517120825607494</v>
      </c>
      <c r="O52" s="38">
        <f t="shared" si="36"/>
        <v>740.24996531345028</v>
      </c>
      <c r="P52" s="38">
        <f t="shared" si="37"/>
        <v>89.922599392604482</v>
      </c>
      <c r="Q52" s="38">
        <f t="shared" si="38"/>
        <v>1.0005154156963127</v>
      </c>
      <c r="R52" s="38">
        <f t="shared" si="39"/>
        <v>1.8391756304664584</v>
      </c>
      <c r="S52" s="95">
        <f t="shared" si="40"/>
        <v>15.636463089074935</v>
      </c>
      <c r="T52" s="95">
        <f t="shared" si="41"/>
        <v>-79.244654197463447</v>
      </c>
      <c r="U52" s="96">
        <f t="shared" si="42"/>
        <v>24.549398277387393</v>
      </c>
      <c r="V52" s="96">
        <f t="shared" si="42"/>
        <v>-150.33020522903738</v>
      </c>
      <c r="W52" s="38">
        <f t="shared" si="20"/>
        <v>24.549398277387393</v>
      </c>
      <c r="X52" s="38">
        <f t="shared" si="21"/>
        <v>5011.8723362727233</v>
      </c>
      <c r="Y52" s="38">
        <f t="shared" si="22"/>
        <v>-150.33020522903738</v>
      </c>
    </row>
    <row r="53" spans="1:25" x14ac:dyDescent="0.2">
      <c r="A53" s="38">
        <f t="shared" si="23"/>
        <v>46</v>
      </c>
      <c r="B53" s="38">
        <f t="shared" si="24"/>
        <v>5754.3993733715706</v>
      </c>
      <c r="C53" s="38">
        <f t="shared" si="25"/>
        <v>1.0005773778119267</v>
      </c>
      <c r="D53" s="38">
        <f t="shared" si="26"/>
        <v>1.946539503216655</v>
      </c>
      <c r="E53" s="38">
        <f t="shared" si="27"/>
        <v>1.0002462860241017</v>
      </c>
      <c r="F53" s="38">
        <f t="shared" si="28"/>
        <v>-1.271490009071613</v>
      </c>
      <c r="G53" s="38">
        <f t="shared" si="29"/>
        <v>3.5427235130490713</v>
      </c>
      <c r="H53" s="38">
        <f t="shared" si="30"/>
        <v>73.604344744899421</v>
      </c>
      <c r="I53" s="38">
        <f t="shared" si="31"/>
        <v>0.99999582801572118</v>
      </c>
      <c r="J53" s="38">
        <f t="shared" si="32"/>
        <v>0.3902377690537821</v>
      </c>
      <c r="K53" s="94">
        <f t="shared" si="33"/>
        <v>7.8234223909402623</v>
      </c>
      <c r="L53" s="94">
        <f t="shared" si="18"/>
        <v>-73.319533019808162</v>
      </c>
      <c r="M53" s="38">
        <f t="shared" si="34"/>
        <v>1.0319756565107279</v>
      </c>
      <c r="N53" s="38">
        <f t="shared" si="35"/>
        <v>14.300145114609613</v>
      </c>
      <c r="O53" s="38">
        <f t="shared" si="36"/>
        <v>849.92049126024096</v>
      </c>
      <c r="P53" s="38">
        <f t="shared" si="37"/>
        <v>89.932586879217823</v>
      </c>
      <c r="Q53" s="38">
        <f t="shared" si="38"/>
        <v>1.0006793945260137</v>
      </c>
      <c r="R53" s="38">
        <f t="shared" si="39"/>
        <v>2.1114254297749548</v>
      </c>
      <c r="S53" s="95">
        <f t="shared" si="40"/>
        <v>14.499485059137765</v>
      </c>
      <c r="T53" s="95">
        <f t="shared" si="41"/>
        <v>-77.743867194383171</v>
      </c>
      <c r="U53" s="96">
        <f t="shared" si="42"/>
        <v>22.322907450078027</v>
      </c>
      <c r="V53" s="96">
        <f t="shared" si="42"/>
        <v>-151.06340021419135</v>
      </c>
      <c r="W53" s="38">
        <f t="shared" si="20"/>
        <v>22.322907450078027</v>
      </c>
      <c r="X53" s="38">
        <f t="shared" si="21"/>
        <v>5754.3993733715706</v>
      </c>
      <c r="Y53" s="38">
        <f t="shared" si="22"/>
        <v>-151.06340021419135</v>
      </c>
    </row>
    <row r="54" spans="1:25" x14ac:dyDescent="0.2">
      <c r="A54" s="38">
        <f t="shared" si="23"/>
        <v>47</v>
      </c>
      <c r="B54" s="38">
        <f t="shared" si="24"/>
        <v>6606.9344800759645</v>
      </c>
      <c r="C54" s="38">
        <f t="shared" si="25"/>
        <v>1.0007610623137622</v>
      </c>
      <c r="D54" s="38">
        <f t="shared" si="26"/>
        <v>2.2346528500919258</v>
      </c>
      <c r="E54" s="38">
        <f t="shared" si="27"/>
        <v>1.0003246554909118</v>
      </c>
      <c r="F54" s="38">
        <f t="shared" si="28"/>
        <v>-1.459789603961954</v>
      </c>
      <c r="G54" s="38">
        <f t="shared" si="29"/>
        <v>4.0282798355747262</v>
      </c>
      <c r="H54" s="38">
        <f t="shared" si="30"/>
        <v>75.626320214479279</v>
      </c>
      <c r="I54" s="38">
        <f t="shared" si="31"/>
        <v>0.99999450040706106</v>
      </c>
      <c r="J54" s="38">
        <f t="shared" si="32"/>
        <v>0.44805460514314488</v>
      </c>
      <c r="K54" s="94">
        <f t="shared" si="33"/>
        <v>6.7100613800470903</v>
      </c>
      <c r="L54" s="94">
        <f t="shared" si="18"/>
        <v>-75.299511573492452</v>
      </c>
      <c r="M54" s="38">
        <f t="shared" si="34"/>
        <v>1.0419462995709283</v>
      </c>
      <c r="N54" s="38">
        <f t="shared" si="35"/>
        <v>16.3128422253222</v>
      </c>
      <c r="O54" s="38">
        <f t="shared" si="36"/>
        <v>975.83912695662923</v>
      </c>
      <c r="P54" s="38">
        <f t="shared" si="37"/>
        <v>89.941285619772401</v>
      </c>
      <c r="Q54" s="38">
        <f t="shared" si="38"/>
        <v>1.0008955196727578</v>
      </c>
      <c r="R54" s="38">
        <f t="shared" si="39"/>
        <v>2.423891687502147</v>
      </c>
      <c r="S54" s="95">
        <f t="shared" si="40"/>
        <v>13.381128425943164</v>
      </c>
      <c r="T54" s="95">
        <f t="shared" si="41"/>
        <v>-76.05233508195235</v>
      </c>
      <c r="U54" s="96">
        <f t="shared" si="42"/>
        <v>20.091189805990254</v>
      </c>
      <c r="V54" s="96">
        <f t="shared" si="42"/>
        <v>-151.3518466554448</v>
      </c>
      <c r="W54" s="38">
        <f t="shared" si="20"/>
        <v>20.091189805990254</v>
      </c>
      <c r="X54" s="38">
        <f t="shared" si="21"/>
        <v>6606.9344800759645</v>
      </c>
      <c r="Y54" s="38">
        <f t="shared" si="22"/>
        <v>-151.3518466554448</v>
      </c>
    </row>
    <row r="55" spans="1:25" x14ac:dyDescent="0.2">
      <c r="A55" s="38">
        <f t="shared" si="23"/>
        <v>48</v>
      </c>
      <c r="B55" s="38">
        <f t="shared" si="24"/>
        <v>7585.7757502918375</v>
      </c>
      <c r="C55" s="38">
        <f t="shared" si="25"/>
        <v>1.0010031541420576</v>
      </c>
      <c r="D55" s="38">
        <f t="shared" si="26"/>
        <v>2.5653109696721113</v>
      </c>
      <c r="E55" s="38">
        <f t="shared" si="27"/>
        <v>1.0004279571878396</v>
      </c>
      <c r="F55" s="38">
        <f t="shared" si="28"/>
        <v>-1.6759473294792178</v>
      </c>
      <c r="G55" s="38">
        <f t="shared" si="29"/>
        <v>4.590549642851026</v>
      </c>
      <c r="H55" s="38">
        <f t="shared" si="30"/>
        <v>77.417870808905931</v>
      </c>
      <c r="I55" s="38">
        <f t="shared" si="31"/>
        <v>0.99999275039121516</v>
      </c>
      <c r="J55" s="38">
        <f t="shared" si="32"/>
        <v>0.51443808656617462</v>
      </c>
      <c r="K55" s="94">
        <f t="shared" si="33"/>
        <v>5.578173322257344</v>
      </c>
      <c r="L55" s="94">
        <f t="shared" si="18"/>
        <v>-77.042945255279207</v>
      </c>
      <c r="M55" s="38">
        <f t="shared" si="34"/>
        <v>1.0549461817467625</v>
      </c>
      <c r="N55" s="38">
        <f t="shared" si="35"/>
        <v>18.573531845333505</v>
      </c>
      <c r="O55" s="38">
        <f t="shared" si="36"/>
        <v>1120.4130855871003</v>
      </c>
      <c r="P55" s="38">
        <f t="shared" si="37"/>
        <v>89.948861908293324</v>
      </c>
      <c r="Q55" s="38">
        <f t="shared" si="38"/>
        <v>1.0011803568136295</v>
      </c>
      <c r="R55" s="38">
        <f t="shared" si="39"/>
        <v>2.7824720032820438</v>
      </c>
      <c r="S55" s="95">
        <f t="shared" si="40"/>
        <v>12.286357387733171</v>
      </c>
      <c r="T55" s="95">
        <f t="shared" si="41"/>
        <v>-74.157802066241857</v>
      </c>
      <c r="U55" s="96">
        <f t="shared" si="42"/>
        <v>17.864530709990515</v>
      </c>
      <c r="V55" s="96">
        <f t="shared" si="42"/>
        <v>-151.20074732152108</v>
      </c>
      <c r="W55" s="38">
        <f t="shared" si="20"/>
        <v>17.864530709990515</v>
      </c>
      <c r="X55" s="38">
        <f t="shared" si="21"/>
        <v>7585.7757502918375</v>
      </c>
      <c r="Y55" s="38">
        <f t="shared" si="22"/>
        <v>-151.20074732152108</v>
      </c>
    </row>
    <row r="56" spans="1:25" x14ac:dyDescent="0.2">
      <c r="A56" s="38">
        <f t="shared" si="23"/>
        <v>49</v>
      </c>
      <c r="B56" s="38">
        <f t="shared" si="24"/>
        <v>8709.6358995608098</v>
      </c>
      <c r="C56" s="38">
        <f t="shared" si="25"/>
        <v>1.001322203888912</v>
      </c>
      <c r="D56" s="38">
        <f t="shared" si="26"/>
        <v>2.9447452003273566</v>
      </c>
      <c r="E56" s="38">
        <f t="shared" si="27"/>
        <v>1.0005641190491497</v>
      </c>
      <c r="F56" s="38">
        <f t="shared" si="28"/>
        <v>-1.9240703946950521</v>
      </c>
      <c r="G56" s="38">
        <f t="shared" si="29"/>
        <v>5.2403778498767499</v>
      </c>
      <c r="H56" s="38">
        <f t="shared" si="30"/>
        <v>78.999011296493265</v>
      </c>
      <c r="I56" s="38">
        <f t="shared" si="31"/>
        <v>0.99999044361778211</v>
      </c>
      <c r="J56" s="38">
        <f t="shared" si="32"/>
        <v>0.59065784050172332</v>
      </c>
      <c r="K56" s="94">
        <f t="shared" si="33"/>
        <v>4.4321851916605279</v>
      </c>
      <c r="L56" s="94">
        <f t="shared" si="18"/>
        <v>-78.568994331362674</v>
      </c>
      <c r="M56" s="38">
        <f t="shared" si="34"/>
        <v>1.0718424674612024</v>
      </c>
      <c r="N56" s="38">
        <f t="shared" si="35"/>
        <v>21.096914013081378</v>
      </c>
      <c r="O56" s="38">
        <f t="shared" si="36"/>
        <v>1286.4062180893948</v>
      </c>
      <c r="P56" s="38">
        <f t="shared" si="37"/>
        <v>89.955460581208399</v>
      </c>
      <c r="Q56" s="38">
        <f t="shared" si="38"/>
        <v>1.0015557215142175</v>
      </c>
      <c r="R56" s="38">
        <f t="shared" si="39"/>
        <v>3.1939067551857572</v>
      </c>
      <c r="S56" s="95">
        <f t="shared" si="40"/>
        <v>11.22111541343239</v>
      </c>
      <c r="T56" s="95">
        <f t="shared" si="41"/>
        <v>-72.052453323312776</v>
      </c>
      <c r="U56" s="96">
        <f t="shared" si="42"/>
        <v>15.653300605092918</v>
      </c>
      <c r="V56" s="96">
        <f t="shared" si="42"/>
        <v>-150.62144765467545</v>
      </c>
      <c r="W56" s="38">
        <f t="shared" si="20"/>
        <v>15.653300605092918</v>
      </c>
      <c r="X56" s="38">
        <f t="shared" si="21"/>
        <v>8709.6358995608098</v>
      </c>
      <c r="Y56" s="38">
        <f t="shared" si="22"/>
        <v>-150.62144765467545</v>
      </c>
    </row>
    <row r="57" spans="1:25" x14ac:dyDescent="0.2">
      <c r="A57" s="38">
        <f t="shared" si="23"/>
        <v>50</v>
      </c>
      <c r="B57" s="38">
        <f t="shared" si="24"/>
        <v>10000</v>
      </c>
      <c r="C57" s="38">
        <f t="shared" si="25"/>
        <v>1.0017426380959937</v>
      </c>
      <c r="D57" s="38">
        <f t="shared" si="26"/>
        <v>3.3800733980185678</v>
      </c>
      <c r="E57" s="38">
        <f t="shared" si="27"/>
        <v>1.0007435870316725</v>
      </c>
      <c r="F57" s="38">
        <f t="shared" si="28"/>
        <v>-2.2088642222718065</v>
      </c>
      <c r="G57" s="38">
        <f t="shared" si="29"/>
        <v>5.9902528991028605</v>
      </c>
      <c r="H57" s="38">
        <f t="shared" si="30"/>
        <v>80.390172760096149</v>
      </c>
      <c r="I57" s="38">
        <f t="shared" si="31"/>
        <v>0.99998740304007183</v>
      </c>
      <c r="J57" s="38">
        <f t="shared" si="32"/>
        <v>0.67817182387387409</v>
      </c>
      <c r="K57" s="94">
        <f t="shared" si="33"/>
        <v>3.2757645657463281</v>
      </c>
      <c r="L57" s="94">
        <f t="shared" si="18"/>
        <v>-79.897135408223249</v>
      </c>
      <c r="M57" s="38">
        <f t="shared" si="34"/>
        <v>1.093717333271288</v>
      </c>
      <c r="N57" s="38">
        <f t="shared" si="35"/>
        <v>23.89164533318792</v>
      </c>
      <c r="O57" s="38">
        <f t="shared" si="36"/>
        <v>1476.991850277301</v>
      </c>
      <c r="P57" s="38">
        <f t="shared" si="37"/>
        <v>89.961207786028268</v>
      </c>
      <c r="Q57" s="38">
        <f t="shared" si="38"/>
        <v>1.0020503337035289</v>
      </c>
      <c r="R57" s="38">
        <f t="shared" si="39"/>
        <v>3.6658882095451872</v>
      </c>
      <c r="S57" s="95">
        <f t="shared" si="40"/>
        <v>10.192310325313244</v>
      </c>
      <c r="T57" s="95">
        <f t="shared" si="41"/>
        <v>-69.735450662385531</v>
      </c>
      <c r="U57" s="96">
        <f t="shared" si="42"/>
        <v>13.468074891059572</v>
      </c>
      <c r="V57" s="96">
        <f t="shared" si="42"/>
        <v>-149.6325860706088</v>
      </c>
      <c r="W57" s="38">
        <f t="shared" si="20"/>
        <v>13.468074891059572</v>
      </c>
      <c r="X57" s="38">
        <f t="shared" si="21"/>
        <v>10000</v>
      </c>
      <c r="Y57" s="38">
        <f t="shared" si="22"/>
        <v>-149.6325860706088</v>
      </c>
    </row>
    <row r="58" spans="1:25" x14ac:dyDescent="0.2">
      <c r="A58" s="38">
        <f t="shared" si="23"/>
        <v>51</v>
      </c>
      <c r="B58" s="38">
        <f t="shared" si="24"/>
        <v>11481.536214968839</v>
      </c>
      <c r="C58" s="38">
        <f t="shared" si="25"/>
        <v>1.0022966088396426</v>
      </c>
      <c r="D58" s="38">
        <f t="shared" si="26"/>
        <v>3.8794126468024293</v>
      </c>
      <c r="E58" s="38">
        <f t="shared" si="27"/>
        <v>1.0009801227412725</v>
      </c>
      <c r="F58" s="38">
        <f t="shared" si="28"/>
        <v>-2.5357158190262119</v>
      </c>
      <c r="G58" s="38">
        <f t="shared" si="29"/>
        <v>6.8545547568367828</v>
      </c>
      <c r="H58" s="38">
        <f t="shared" si="30"/>
        <v>81.611272378502008</v>
      </c>
      <c r="I58" s="38">
        <f t="shared" si="31"/>
        <v>0.99998339537219649</v>
      </c>
      <c r="J58" s="38">
        <f t="shared" si="32"/>
        <v>0.77865434312940651</v>
      </c>
      <c r="K58" s="94">
        <f t="shared" si="33"/>
        <v>2.1119723192555453</v>
      </c>
      <c r="L58" s="94">
        <f t="shared" si="18"/>
        <v>-81.046229893855198</v>
      </c>
      <c r="M58" s="38">
        <f t="shared" si="34"/>
        <v>1.121902482457328</v>
      </c>
      <c r="N58" s="38">
        <f t="shared" si="35"/>
        <v>26.957495690164063</v>
      </c>
      <c r="O58" s="38">
        <f t="shared" si="36"/>
        <v>1695.8134479812579</v>
      </c>
      <c r="P58" s="38">
        <f t="shared" si="37"/>
        <v>89.966213392810459</v>
      </c>
      <c r="Q58" s="38">
        <f t="shared" si="38"/>
        <v>1.0027019867436395</v>
      </c>
      <c r="R58" s="38">
        <f t="shared" si="39"/>
        <v>4.2071778600617913</v>
      </c>
      <c r="S58" s="95">
        <f t="shared" si="40"/>
        <v>9.207664319220946</v>
      </c>
      <c r="T58" s="95">
        <f t="shared" si="41"/>
        <v>-67.215895562708184</v>
      </c>
      <c r="U58" s="96">
        <f t="shared" si="42"/>
        <v>11.319636638476492</v>
      </c>
      <c r="V58" s="96">
        <f t="shared" si="42"/>
        <v>-148.26212545656338</v>
      </c>
      <c r="W58" s="38">
        <f t="shared" si="20"/>
        <v>11.319636638476492</v>
      </c>
      <c r="X58" s="38">
        <f t="shared" si="21"/>
        <v>11481.536214968839</v>
      </c>
      <c r="Y58" s="38">
        <f t="shared" si="22"/>
        <v>-148.26212545656338</v>
      </c>
    </row>
    <row r="59" spans="1:25" x14ac:dyDescent="0.2">
      <c r="A59" s="38">
        <f t="shared" si="23"/>
        <v>52</v>
      </c>
      <c r="B59" s="38">
        <f t="shared" si="24"/>
        <v>13182.567385564089</v>
      </c>
      <c r="C59" s="38">
        <f t="shared" si="25"/>
        <v>1.0030264169934653</v>
      </c>
      <c r="D59" s="38">
        <f t="shared" si="26"/>
        <v>4.4519993031098659</v>
      </c>
      <c r="E59" s="38">
        <f t="shared" si="27"/>
        <v>1.0012918521527667</v>
      </c>
      <c r="F59" s="38">
        <f t="shared" si="28"/>
        <v>-2.9107868228406879</v>
      </c>
      <c r="G59" s="38">
        <f t="shared" si="29"/>
        <v>7.8498364229765016</v>
      </c>
      <c r="H59" s="38">
        <f t="shared" si="30"/>
        <v>82.68113498129641</v>
      </c>
      <c r="I59" s="38">
        <f t="shared" si="31"/>
        <v>0.99997811326959407</v>
      </c>
      <c r="J59" s="38">
        <f t="shared" si="32"/>
        <v>0.89402828585529992</v>
      </c>
      <c r="K59" s="94">
        <f t="shared" si="33"/>
        <v>0.9434178455135821</v>
      </c>
      <c r="L59" s="94">
        <f t="shared" si="18"/>
        <v>-82.033950786882528</v>
      </c>
      <c r="M59" s="38">
        <f t="shared" si="34"/>
        <v>1.158009981284541</v>
      </c>
      <c r="N59" s="38">
        <f t="shared" si="35"/>
        <v>30.28240847113517</v>
      </c>
      <c r="O59" s="38">
        <f t="shared" si="36"/>
        <v>1947.0542699550469</v>
      </c>
      <c r="P59" s="38">
        <f t="shared" si="37"/>
        <v>89.970573094486312</v>
      </c>
      <c r="Q59" s="38">
        <f t="shared" si="38"/>
        <v>1.003560386177244</v>
      </c>
      <c r="R59" s="38">
        <f t="shared" si="39"/>
        <v>4.8277292904037781</v>
      </c>
      <c r="S59" s="95">
        <f t="shared" si="40"/>
        <v>8.2753758686438506</v>
      </c>
      <c r="T59" s="95">
        <f t="shared" si="41"/>
        <v>-64.515893913754923</v>
      </c>
      <c r="U59" s="96">
        <f t="shared" si="42"/>
        <v>9.2187937141574334</v>
      </c>
      <c r="V59" s="96">
        <f t="shared" si="42"/>
        <v>-146.54984470063744</v>
      </c>
      <c r="W59" s="38">
        <f t="shared" si="20"/>
        <v>9.2187937141574334</v>
      </c>
      <c r="X59" s="38">
        <f t="shared" si="21"/>
        <v>13182.567385564089</v>
      </c>
      <c r="Y59" s="38">
        <f t="shared" si="22"/>
        <v>-146.54984470063744</v>
      </c>
    </row>
    <row r="60" spans="1:25" x14ac:dyDescent="0.2">
      <c r="A60" s="38">
        <f t="shared" si="23"/>
        <v>53</v>
      </c>
      <c r="B60" s="38">
        <f t="shared" si="24"/>
        <v>15135.61248436208</v>
      </c>
      <c r="C60" s="38">
        <f t="shared" si="25"/>
        <v>1.0039876808843398</v>
      </c>
      <c r="D60" s="38">
        <f t="shared" si="26"/>
        <v>5.1083128500240251</v>
      </c>
      <c r="E60" s="38">
        <f t="shared" si="27"/>
        <v>1.0017026433159337</v>
      </c>
      <c r="F60" s="38">
        <f t="shared" si="28"/>
        <v>-3.3411163097616914</v>
      </c>
      <c r="G60" s="38">
        <f t="shared" si="29"/>
        <v>8.9951450057876663</v>
      </c>
      <c r="H60" s="38">
        <f t="shared" si="30"/>
        <v>83.617172311753194</v>
      </c>
      <c r="I60" s="38">
        <f t="shared" si="31"/>
        <v>0.99997115189669261</v>
      </c>
      <c r="J60" s="38">
        <f t="shared" si="32"/>
        <v>1.0265022193477922</v>
      </c>
      <c r="K60" s="94">
        <f t="shared" si="33"/>
        <v>-0.22758991897712369</v>
      </c>
      <c r="L60" s="94">
        <f t="shared" si="18"/>
        <v>-82.876477990838652</v>
      </c>
      <c r="M60" s="38">
        <f t="shared" si="34"/>
        <v>1.2039553830697802</v>
      </c>
      <c r="N60" s="38">
        <f t="shared" si="35"/>
        <v>33.840034524478462</v>
      </c>
      <c r="O60" s="38">
        <f t="shared" si="36"/>
        <v>2235.517340117955</v>
      </c>
      <c r="P60" s="38">
        <f t="shared" si="37"/>
        <v>89.974370236188435</v>
      </c>
      <c r="Q60" s="38">
        <f t="shared" si="38"/>
        <v>1.0046908563451165</v>
      </c>
      <c r="R60" s="38">
        <f t="shared" si="39"/>
        <v>5.5388115843229659</v>
      </c>
      <c r="S60" s="95">
        <f t="shared" si="40"/>
        <v>7.4035591511424315</v>
      </c>
      <c r="T60" s="95">
        <f t="shared" si="41"/>
        <v>-61.673147296032937</v>
      </c>
      <c r="U60" s="96">
        <f t="shared" si="42"/>
        <v>7.1759692321653077</v>
      </c>
      <c r="V60" s="96">
        <f t="shared" si="42"/>
        <v>-144.54962528687159</v>
      </c>
      <c r="W60" s="38">
        <f t="shared" si="20"/>
        <v>7.1759692321653077</v>
      </c>
      <c r="X60" s="38">
        <f t="shared" si="21"/>
        <v>15135.61248436208</v>
      </c>
      <c r="Y60" s="38">
        <f t="shared" si="22"/>
        <v>-144.54962528687159</v>
      </c>
    </row>
    <row r="61" spans="1:25" x14ac:dyDescent="0.2">
      <c r="A61" s="38">
        <f t="shared" si="23"/>
        <v>54</v>
      </c>
      <c r="B61" s="38">
        <f t="shared" si="24"/>
        <v>17378.008287493758</v>
      </c>
      <c r="C61" s="38">
        <f t="shared" si="25"/>
        <v>1.0052534689240347</v>
      </c>
      <c r="D61" s="38">
        <f t="shared" si="26"/>
        <v>5.8601973411961952</v>
      </c>
      <c r="E61" s="38">
        <f t="shared" si="27"/>
        <v>1.0022439142583484</v>
      </c>
      <c r="F61" s="38">
        <f t="shared" si="28"/>
        <v>-3.8347327881810713</v>
      </c>
      <c r="G61" s="38">
        <f t="shared" si="29"/>
        <v>10.312389046096545</v>
      </c>
      <c r="H61" s="38">
        <f t="shared" si="30"/>
        <v>84.435241290929767</v>
      </c>
      <c r="I61" s="38">
        <f t="shared" si="31"/>
        <v>0.99996197813841536</v>
      </c>
      <c r="J61" s="38">
        <f t="shared" si="32"/>
        <v>1.1786131242656119</v>
      </c>
      <c r="K61" s="94">
        <f t="shared" si="33"/>
        <v>-1.398896546304186</v>
      </c>
      <c r="L61" s="94">
        <f t="shared" si="18"/>
        <v>-83.58838986218025</v>
      </c>
      <c r="M61" s="38">
        <f t="shared" si="34"/>
        <v>1.2619697675019963</v>
      </c>
      <c r="N61" s="38">
        <f t="shared" si="35"/>
        <v>37.588507645769297</v>
      </c>
      <c r="O61" s="38">
        <f t="shared" si="36"/>
        <v>2566.7172679786668</v>
      </c>
      <c r="P61" s="38">
        <f t="shared" si="37"/>
        <v>89.977677408541496</v>
      </c>
      <c r="Q61" s="38">
        <f t="shared" si="38"/>
        <v>1.0061791654919283</v>
      </c>
      <c r="R61" s="38">
        <f t="shared" si="39"/>
        <v>6.3531248812015386</v>
      </c>
      <c r="S61" s="95">
        <f t="shared" si="40"/>
        <v>6.5994731087950296</v>
      </c>
      <c r="T61" s="95">
        <f t="shared" si="41"/>
        <v>-58.742294643973736</v>
      </c>
      <c r="U61" s="96">
        <f t="shared" si="42"/>
        <v>5.2005765624908431</v>
      </c>
      <c r="V61" s="96">
        <f t="shared" si="42"/>
        <v>-142.330684506154</v>
      </c>
      <c r="W61" s="38">
        <f t="shared" si="20"/>
        <v>5.2005765624908431</v>
      </c>
      <c r="X61" s="38">
        <f t="shared" si="21"/>
        <v>17378.008287493758</v>
      </c>
      <c r="Y61" s="38">
        <f t="shared" si="22"/>
        <v>-142.330684506154</v>
      </c>
    </row>
    <row r="62" spans="1:25" x14ac:dyDescent="0.2">
      <c r="A62" s="38">
        <f t="shared" si="23"/>
        <v>55</v>
      </c>
      <c r="B62" s="38">
        <f t="shared" si="24"/>
        <v>19952.623149688803</v>
      </c>
      <c r="C62" s="38">
        <f t="shared" si="25"/>
        <v>1.0069196711271569</v>
      </c>
      <c r="D62" s="38">
        <f t="shared" si="26"/>
        <v>6.7209701855171007</v>
      </c>
      <c r="E62" s="38">
        <f t="shared" si="27"/>
        <v>1.0029570019724765</v>
      </c>
      <c r="F62" s="38">
        <f t="shared" si="28"/>
        <v>-4.4007737322488207</v>
      </c>
      <c r="G62" s="38">
        <f t="shared" si="29"/>
        <v>11.826759532019558</v>
      </c>
      <c r="H62" s="38">
        <f t="shared" si="30"/>
        <v>85.149620527472706</v>
      </c>
      <c r="I62" s="38">
        <f t="shared" si="31"/>
        <v>0.99994989018916336</v>
      </c>
      <c r="J62" s="38">
        <f t="shared" si="32"/>
        <v>1.3532756694501049</v>
      </c>
      <c r="K62" s="94">
        <f t="shared" si="33"/>
        <v>-2.5683584676564419</v>
      </c>
      <c r="L62" s="94">
        <f t="shared" si="18"/>
        <v>-84.182699743654524</v>
      </c>
      <c r="M62" s="38">
        <f t="shared" si="34"/>
        <v>1.3345996987050883</v>
      </c>
      <c r="N62" s="38">
        <f t="shared" si="35"/>
        <v>41.47123027541631</v>
      </c>
      <c r="O62" s="38">
        <f t="shared" si="36"/>
        <v>2946.9856725912973</v>
      </c>
      <c r="P62" s="38">
        <f t="shared" si="37"/>
        <v>89.9805578353687</v>
      </c>
      <c r="Q62" s="38">
        <f t="shared" si="38"/>
        <v>1.008137781699096</v>
      </c>
      <c r="R62" s="38">
        <f t="shared" si="39"/>
        <v>7.2848946319615662</v>
      </c>
      <c r="S62" s="95">
        <f t="shared" si="40"/>
        <v>5.8686232881754936</v>
      </c>
      <c r="T62" s="95">
        <f t="shared" si="41"/>
        <v>-55.794222191913953</v>
      </c>
      <c r="U62" s="96">
        <f t="shared" si="42"/>
        <v>3.3002648205190517</v>
      </c>
      <c r="V62" s="96">
        <f t="shared" si="42"/>
        <v>-139.97692193556847</v>
      </c>
      <c r="W62" s="38">
        <f t="shared" si="20"/>
        <v>3.3002648205190517</v>
      </c>
      <c r="X62" s="38">
        <f t="shared" si="21"/>
        <v>19952.623149688803</v>
      </c>
      <c r="Y62" s="38">
        <f t="shared" si="22"/>
        <v>-139.97692193556847</v>
      </c>
    </row>
    <row r="63" spans="1:25" x14ac:dyDescent="0.2">
      <c r="A63" s="38">
        <f t="shared" si="23"/>
        <v>56</v>
      </c>
      <c r="B63" s="38">
        <f t="shared" si="24"/>
        <v>22908.676527677748</v>
      </c>
      <c r="C63" s="38">
        <f t="shared" si="25"/>
        <v>1.0091119495642629</v>
      </c>
      <c r="D63" s="38">
        <f t="shared" si="26"/>
        <v>7.7055021580441929</v>
      </c>
      <c r="E63" s="38">
        <f t="shared" si="27"/>
        <v>1.0038962606791233</v>
      </c>
      <c r="F63" s="38">
        <f t="shared" si="28"/>
        <v>-5.0496093101363204</v>
      </c>
      <c r="G63" s="38">
        <f t="shared" si="29"/>
        <v>13.567212961174995</v>
      </c>
      <c r="H63" s="38">
        <f t="shared" si="30"/>
        <v>85.773060706006504</v>
      </c>
      <c r="I63" s="38">
        <f t="shared" si="31"/>
        <v>0.99993396458682038</v>
      </c>
      <c r="J63" s="38">
        <f t="shared" si="32"/>
        <v>1.5538391047567426</v>
      </c>
      <c r="K63" s="94">
        <f t="shared" si="33"/>
        <v>-3.7336967293960543</v>
      </c>
      <c r="L63" s="94">
        <f t="shared" si="18"/>
        <v>-84.671006962855373</v>
      </c>
      <c r="M63" s="38">
        <f t="shared" si="34"/>
        <v>1.4246980837630288</v>
      </c>
      <c r="N63" s="38">
        <f t="shared" si="35"/>
        <v>45.420109989929259</v>
      </c>
      <c r="O63" s="38">
        <f t="shared" si="36"/>
        <v>3383.5922254557099</v>
      </c>
      <c r="P63" s="38">
        <f t="shared" si="37"/>
        <v>89.983066582339291</v>
      </c>
      <c r="Q63" s="38">
        <f t="shared" si="38"/>
        <v>1.0107139410766561</v>
      </c>
      <c r="R63" s="38">
        <f t="shared" si="39"/>
        <v>8.3499238900162389</v>
      </c>
      <c r="S63" s="95">
        <f t="shared" si="40"/>
        <v>5.2138924606456927</v>
      </c>
      <c r="T63" s="95">
        <f t="shared" si="41"/>
        <v>-52.912880482426274</v>
      </c>
      <c r="U63" s="96">
        <f t="shared" si="42"/>
        <v>1.4801957312496383</v>
      </c>
      <c r="V63" s="96">
        <f t="shared" si="42"/>
        <v>-137.58388744528165</v>
      </c>
      <c r="W63" s="38">
        <f t="shared" si="20"/>
        <v>1.4801957312496383</v>
      </c>
      <c r="X63" s="38">
        <f t="shared" si="21"/>
        <v>22908.676527677748</v>
      </c>
      <c r="Y63" s="38">
        <f t="shared" si="22"/>
        <v>-137.58388744528165</v>
      </c>
    </row>
    <row r="64" spans="1:25" x14ac:dyDescent="0.2">
      <c r="A64" s="38">
        <f t="shared" si="23"/>
        <v>57</v>
      </c>
      <c r="B64" s="38">
        <f t="shared" si="24"/>
        <v>26302.679918953821</v>
      </c>
      <c r="C64" s="38">
        <f t="shared" si="25"/>
        <v>1.0119946786198588</v>
      </c>
      <c r="D64" s="38">
        <f t="shared" si="26"/>
        <v>8.8302442328914861</v>
      </c>
      <c r="E64" s="38">
        <f t="shared" si="27"/>
        <v>1.005133103646018</v>
      </c>
      <c r="F64" s="38">
        <f t="shared" si="28"/>
        <v>-5.7929643586272848</v>
      </c>
      <c r="G64" s="38">
        <f t="shared" si="29"/>
        <v>15.567025905712235</v>
      </c>
      <c r="H64" s="38">
        <f t="shared" si="30"/>
        <v>86.316877802501352</v>
      </c>
      <c r="I64" s="38">
        <f t="shared" si="31"/>
        <v>0.99991298692199815</v>
      </c>
      <c r="J64" s="38">
        <f t="shared" si="32"/>
        <v>1.7841530635036298</v>
      </c>
      <c r="K64" s="94">
        <f t="shared" si="33"/>
        <v>-4.8923422303852595</v>
      </c>
      <c r="L64" s="94">
        <f t="shared" si="18"/>
        <v>-85.063750991740775</v>
      </c>
      <c r="M64" s="38">
        <f t="shared" si="34"/>
        <v>1.5354133523138898</v>
      </c>
      <c r="N64" s="38">
        <f t="shared" si="35"/>
        <v>49.361035538746407</v>
      </c>
      <c r="O64" s="38">
        <f t="shared" si="36"/>
        <v>3884.8836263647581</v>
      </c>
      <c r="P64" s="38">
        <f t="shared" si="37"/>
        <v>89.985251609660338</v>
      </c>
      <c r="Q64" s="38">
        <f t="shared" si="38"/>
        <v>1.0140999806721487</v>
      </c>
      <c r="R64" s="38">
        <f t="shared" si="39"/>
        <v>9.5655729807904795</v>
      </c>
      <c r="S64" s="95">
        <f t="shared" si="40"/>
        <v>4.6348916422043231</v>
      </c>
      <c r="T64" s="95">
        <f t="shared" si="41"/>
        <v>-50.189789051704409</v>
      </c>
      <c r="U64" s="96">
        <f t="shared" si="42"/>
        <v>-0.25745058818093636</v>
      </c>
      <c r="V64" s="96">
        <f t="shared" si="42"/>
        <v>-135.25354004344518</v>
      </c>
      <c r="W64" s="38">
        <f t="shared" si="20"/>
        <v>0.25745058818093636</v>
      </c>
      <c r="X64" s="38">
        <f t="shared" si="21"/>
        <v>26302.679918953821</v>
      </c>
      <c r="Y64" s="38">
        <f t="shared" si="22"/>
        <v>-135.25354004344518</v>
      </c>
    </row>
    <row r="65" spans="1:25" x14ac:dyDescent="0.2">
      <c r="A65" s="38">
        <f t="shared" si="23"/>
        <v>58</v>
      </c>
      <c r="B65" s="38">
        <f t="shared" si="24"/>
        <v>30199.517204020176</v>
      </c>
      <c r="C65" s="38">
        <f t="shared" si="25"/>
        <v>1.0157823548791793</v>
      </c>
      <c r="D65" s="38">
        <f t="shared" si="26"/>
        <v>10.113165556538139</v>
      </c>
      <c r="E65" s="38">
        <f t="shared" si="27"/>
        <v>1.006761258374294</v>
      </c>
      <c r="F65" s="38">
        <f t="shared" si="28"/>
        <v>-6.6440287569895711</v>
      </c>
      <c r="G65" s="38">
        <f t="shared" si="29"/>
        <v>17.86443183644273</v>
      </c>
      <c r="H65" s="38">
        <f t="shared" si="30"/>
        <v>86.791068169971894</v>
      </c>
      <c r="I65" s="38">
        <f t="shared" si="31"/>
        <v>0.9998853614197678</v>
      </c>
      <c r="J65" s="38">
        <f t="shared" si="32"/>
        <v>2.0486438409699415</v>
      </c>
      <c r="K65" s="94">
        <f t="shared" si="33"/>
        <v>-6.0412663794006942</v>
      </c>
      <c r="L65" s="94">
        <f t="shared" si="18"/>
        <v>-85.370575211393273</v>
      </c>
      <c r="M65" s="38">
        <f t="shared" si="34"/>
        <v>1.6701873629083837</v>
      </c>
      <c r="N65" s="38">
        <f t="shared" si="35"/>
        <v>53.220631868440897</v>
      </c>
      <c r="O65" s="38">
        <f t="shared" si="36"/>
        <v>4460.4431690291794</v>
      </c>
      <c r="P65" s="38">
        <f t="shared" si="37"/>
        <v>89.987154688935192</v>
      </c>
      <c r="Q65" s="38">
        <f t="shared" si="38"/>
        <v>1.018546450081111</v>
      </c>
      <c r="R65" s="38">
        <f t="shared" si="39"/>
        <v>10.950622689977939</v>
      </c>
      <c r="S65" s="95">
        <f t="shared" si="40"/>
        <v>4.127688018065828</v>
      </c>
      <c r="T65" s="95">
        <f t="shared" si="41"/>
        <v>-47.717145510472236</v>
      </c>
      <c r="U65" s="96">
        <f t="shared" si="42"/>
        <v>-1.9135783613348663</v>
      </c>
      <c r="V65" s="96">
        <f t="shared" si="42"/>
        <v>-133.08772072186551</v>
      </c>
      <c r="W65" s="38">
        <f t="shared" si="20"/>
        <v>1.9135783613348663</v>
      </c>
      <c r="X65" s="38">
        <f t="shared" si="21"/>
        <v>30199.517204020176</v>
      </c>
      <c r="Y65" s="38">
        <f t="shared" si="22"/>
        <v>-133.08772072186551</v>
      </c>
    </row>
    <row r="66" spans="1:25" x14ac:dyDescent="0.2">
      <c r="A66" s="38">
        <f t="shared" si="23"/>
        <v>59</v>
      </c>
      <c r="B66" s="38">
        <f t="shared" si="24"/>
        <v>34673.685045253224</v>
      </c>
      <c r="C66" s="38">
        <f t="shared" si="25"/>
        <v>1.0207540087214571</v>
      </c>
      <c r="D66" s="38">
        <f t="shared" si="26"/>
        <v>11.573552337370851</v>
      </c>
      <c r="E66" s="38">
        <f t="shared" si="27"/>
        <v>1.0089035694381718</v>
      </c>
      <c r="F66" s="38">
        <f t="shared" si="28"/>
        <v>-7.6175406638433794</v>
      </c>
      <c r="G66" s="38">
        <f t="shared" si="29"/>
        <v>20.503352487074984</v>
      </c>
      <c r="H66" s="38">
        <f t="shared" si="30"/>
        <v>87.204431842842439</v>
      </c>
      <c r="I66" s="38">
        <f t="shared" si="31"/>
        <v>0.99984899335259969</v>
      </c>
      <c r="J66" s="38">
        <f t="shared" si="32"/>
        <v>2.352403073564322</v>
      </c>
      <c r="K66" s="94">
        <f t="shared" si="33"/>
        <v>-7.1767919741179274</v>
      </c>
      <c r="L66" s="94">
        <f t="shared" si="18"/>
        <v>-85.600823242879287</v>
      </c>
      <c r="M66" s="38">
        <f t="shared" si="34"/>
        <v>1.8327723482615068</v>
      </c>
      <c r="N66" s="38">
        <f t="shared" si="35"/>
        <v>56.932854915160952</v>
      </c>
      <c r="O66" s="38">
        <f t="shared" si="36"/>
        <v>5121.2739469298622</v>
      </c>
      <c r="P66" s="38">
        <f t="shared" si="37"/>
        <v>89.988812201715646</v>
      </c>
      <c r="Q66" s="38">
        <f t="shared" si="38"/>
        <v>1.0243785469397553</v>
      </c>
      <c r="R66" s="38">
        <f t="shared" si="39"/>
        <v>12.524960812791207</v>
      </c>
      <c r="S66" s="95">
        <f t="shared" si="40"/>
        <v>3.6849619766657855</v>
      </c>
      <c r="T66" s="95">
        <f t="shared" si="41"/>
        <v>-45.580918099345901</v>
      </c>
      <c r="U66" s="96">
        <f t="shared" si="42"/>
        <v>-3.4918299974521418</v>
      </c>
      <c r="V66" s="96">
        <f t="shared" si="42"/>
        <v>-131.18174134222519</v>
      </c>
      <c r="W66" s="38">
        <f t="shared" si="20"/>
        <v>3.4918299974521418</v>
      </c>
      <c r="X66" s="38">
        <f t="shared" si="21"/>
        <v>34673.685045253224</v>
      </c>
      <c r="Y66" s="38">
        <f t="shared" si="22"/>
        <v>-131.18174134222519</v>
      </c>
    </row>
    <row r="67" spans="1:25" x14ac:dyDescent="0.2">
      <c r="A67" s="38">
        <f t="shared" si="23"/>
        <v>60</v>
      </c>
      <c r="B67" s="38">
        <f t="shared" si="24"/>
        <v>39810.717055349698</v>
      </c>
      <c r="C67" s="38">
        <f t="shared" si="25"/>
        <v>1.0272711594044515</v>
      </c>
      <c r="D67" s="38">
        <f t="shared" si="26"/>
        <v>13.231600163628231</v>
      </c>
      <c r="E67" s="38">
        <f t="shared" si="27"/>
        <v>1.0117207538189408</v>
      </c>
      <c r="F67" s="38">
        <f t="shared" si="28"/>
        <v>-8.7298190180258537</v>
      </c>
      <c r="G67" s="38">
        <f t="shared" si="29"/>
        <v>23.534237813059942</v>
      </c>
      <c r="H67" s="38">
        <f t="shared" si="30"/>
        <v>87.564695515731856</v>
      </c>
      <c r="I67" s="38">
        <f t="shared" si="31"/>
        <v>0.99980113682478677</v>
      </c>
      <c r="J67" s="38">
        <f t="shared" si="32"/>
        <v>2.7012912188546574</v>
      </c>
      <c r="K67" s="94">
        <f t="shared" si="33"/>
        <v>-8.2943813839734837</v>
      </c>
      <c r="L67" s="94">
        <f t="shared" si="18"/>
        <v>-85.76420558898414</v>
      </c>
      <c r="M67" s="38">
        <f t="shared" si="34"/>
        <v>2.027273899997073</v>
      </c>
      <c r="N67" s="38">
        <f t="shared" si="35"/>
        <v>60.444048713384632</v>
      </c>
      <c r="O67" s="38">
        <f t="shared" si="36"/>
        <v>5880.0092017825373</v>
      </c>
      <c r="P67" s="38">
        <f t="shared" si="37"/>
        <v>89.990255835012647</v>
      </c>
      <c r="Q67" s="38">
        <f t="shared" si="38"/>
        <v>1.0320163881462217</v>
      </c>
      <c r="R67" s="38">
        <f t="shared" si="39"/>
        <v>14.309013959480952</v>
      </c>
      <c r="S67" s="95">
        <f t="shared" si="40"/>
        <v>3.296517738671374</v>
      </c>
      <c r="T67" s="95">
        <f t="shared" si="41"/>
        <v>-43.855221081108965</v>
      </c>
      <c r="U67" s="96">
        <f t="shared" si="42"/>
        <v>-4.9978636453021092</v>
      </c>
      <c r="V67" s="96">
        <f t="shared" si="42"/>
        <v>-129.61942667009311</v>
      </c>
      <c r="W67" s="38">
        <f t="shared" si="20"/>
        <v>4.9978636453021092</v>
      </c>
      <c r="X67" s="38">
        <f t="shared" si="21"/>
        <v>39810.717055349698</v>
      </c>
      <c r="Y67" s="38">
        <f t="shared" si="22"/>
        <v>-129.61942667009311</v>
      </c>
    </row>
    <row r="68" spans="1:25" x14ac:dyDescent="0.2">
      <c r="A68" s="38">
        <f t="shared" si="23"/>
        <v>61</v>
      </c>
      <c r="B68" s="38">
        <f t="shared" si="24"/>
        <v>45708.81896148753</v>
      </c>
      <c r="C68" s="38">
        <f t="shared" si="25"/>
        <v>1.0357997818657871</v>
      </c>
      <c r="D68" s="38">
        <f t="shared" si="26"/>
        <v>15.107714604617286</v>
      </c>
      <c r="E68" s="38">
        <f t="shared" si="27"/>
        <v>1.0154225831325911</v>
      </c>
      <c r="F68" s="38">
        <f t="shared" si="28"/>
        <v>-9.9987106957481515</v>
      </c>
      <c r="G68" s="38">
        <f t="shared" si="29"/>
        <v>27.015030652067026</v>
      </c>
      <c r="H68" s="38">
        <f t="shared" si="30"/>
        <v>87.878630125364126</v>
      </c>
      <c r="I68" s="38">
        <f t="shared" si="31"/>
        <v>0.99973819897147342</v>
      </c>
      <c r="J68" s="38">
        <f t="shared" si="32"/>
        <v>3.1020588795730299</v>
      </c>
      <c r="K68" s="94">
        <f t="shared" si="33"/>
        <v>-9.3884035511455153</v>
      </c>
      <c r="L68" s="94">
        <f t="shared" si="18"/>
        <v>-85.871685096068035</v>
      </c>
      <c r="M68" s="38">
        <f t="shared" si="34"/>
        <v>2.2582220509436577</v>
      </c>
      <c r="N68" s="38">
        <f t="shared" si="35"/>
        <v>63.715653545685825</v>
      </c>
      <c r="O68" s="38">
        <f t="shared" si="36"/>
        <v>6751.1538358910793</v>
      </c>
      <c r="P68" s="38">
        <f t="shared" si="37"/>
        <v>89.991513187061742</v>
      </c>
      <c r="Q68" s="38">
        <f t="shared" si="38"/>
        <v>1.041999480197809</v>
      </c>
      <c r="R68" s="38">
        <f t="shared" si="39"/>
        <v>16.322830955150561</v>
      </c>
      <c r="S68" s="95">
        <f t="shared" si="40"/>
        <v>2.9499838940534544</v>
      </c>
      <c r="T68" s="95">
        <f t="shared" si="41"/>
        <v>-42.598690596526481</v>
      </c>
      <c r="U68" s="96">
        <f t="shared" si="42"/>
        <v>-6.4384196570920604</v>
      </c>
      <c r="V68" s="96">
        <f t="shared" si="42"/>
        <v>-128.47037569259453</v>
      </c>
      <c r="W68" s="38">
        <f t="shared" si="20"/>
        <v>6.4384196570920604</v>
      </c>
      <c r="X68" s="38">
        <f t="shared" si="21"/>
        <v>45708.81896148753</v>
      </c>
      <c r="Y68" s="38">
        <f t="shared" si="22"/>
        <v>-128.47037569259453</v>
      </c>
    </row>
    <row r="69" spans="1:25" x14ac:dyDescent="0.2">
      <c r="A69" s="38">
        <f t="shared" si="23"/>
        <v>62</v>
      </c>
      <c r="B69" s="38">
        <f t="shared" si="24"/>
        <v>52480.746024977263</v>
      </c>
      <c r="C69" s="38">
        <f t="shared" si="25"/>
        <v>1.0469365393108785</v>
      </c>
      <c r="D69" s="38">
        <f t="shared" si="26"/>
        <v>17.221422489598691</v>
      </c>
      <c r="E69" s="38">
        <f t="shared" si="27"/>
        <v>1.0202820216237705</v>
      </c>
      <c r="F69" s="38">
        <f t="shared" si="28"/>
        <v>-11.443403443828085</v>
      </c>
      <c r="G69" s="38">
        <f t="shared" si="29"/>
        <v>31.012274560928102</v>
      </c>
      <c r="H69" s="38">
        <f t="shared" si="30"/>
        <v>88.152160267453041</v>
      </c>
      <c r="I69" s="38">
        <f t="shared" si="31"/>
        <v>0.99965549029038003</v>
      </c>
      <c r="J69" s="38">
        <f t="shared" si="32"/>
        <v>3.5624898986185998</v>
      </c>
      <c r="K69" s="94">
        <f t="shared" si="33"/>
        <v>-10.451888880839926</v>
      </c>
      <c r="L69" s="94">
        <f t="shared" si="18"/>
        <v>-85.93663112030103</v>
      </c>
      <c r="M69" s="38">
        <f t="shared" si="34"/>
        <v>2.5306682122738722</v>
      </c>
      <c r="N69" s="38">
        <f t="shared" si="35"/>
        <v>66.72451138052088</v>
      </c>
      <c r="O69" s="38">
        <f t="shared" si="36"/>
        <v>7751.3617054318247</v>
      </c>
      <c r="P69" s="38">
        <f t="shared" si="37"/>
        <v>89.99260829492296</v>
      </c>
      <c r="Q69" s="38">
        <f t="shared" si="38"/>
        <v>1.0550154230630353</v>
      </c>
      <c r="R69" s="38">
        <f t="shared" si="39"/>
        <v>18.584719369668548</v>
      </c>
      <c r="S69" s="95">
        <f t="shared" si="40"/>
        <v>2.6315291141738593</v>
      </c>
      <c r="T69" s="95">
        <f t="shared" si="41"/>
        <v>-41.852816284070627</v>
      </c>
      <c r="U69" s="96">
        <f t="shared" si="42"/>
        <v>-7.8203597666660665</v>
      </c>
      <c r="V69" s="96">
        <f t="shared" si="42"/>
        <v>-127.78944740437166</v>
      </c>
      <c r="W69" s="38">
        <f t="shared" si="20"/>
        <v>7.8203597666660665</v>
      </c>
      <c r="X69" s="38">
        <f t="shared" si="21"/>
        <v>52480.746024977263</v>
      </c>
      <c r="Y69" s="38">
        <f t="shared" si="22"/>
        <v>-127.78944740437166</v>
      </c>
    </row>
    <row r="70" spans="1:25" x14ac:dyDescent="0.2">
      <c r="A70" s="38">
        <f t="shared" si="23"/>
        <v>63</v>
      </c>
      <c r="B70" s="38">
        <f t="shared" si="24"/>
        <v>60255.958607435852</v>
      </c>
      <c r="C70" s="38">
        <f t="shared" si="25"/>
        <v>1.0614391122920708</v>
      </c>
      <c r="D70" s="38">
        <f t="shared" si="26"/>
        <v>19.589799661669815</v>
      </c>
      <c r="E70" s="38">
        <f t="shared" si="27"/>
        <v>1.0266528634231495</v>
      </c>
      <c r="F70" s="38">
        <f t="shared" si="28"/>
        <v>-13.084038617562532</v>
      </c>
      <c r="G70" s="38">
        <f t="shared" si="29"/>
        <v>35.602386030065354</v>
      </c>
      <c r="H70" s="38">
        <f t="shared" si="30"/>
        <v>88.39046416931896</v>
      </c>
      <c r="I70" s="38">
        <f t="shared" si="31"/>
        <v>0.99954691020671771</v>
      </c>
      <c r="J70" s="38">
        <f t="shared" si="32"/>
        <v>4.0915713856618572</v>
      </c>
      <c r="K70" s="94">
        <f t="shared" si="33"/>
        <v>-11.47629272345166</v>
      </c>
      <c r="L70" s="94">
        <f t="shared" si="18"/>
        <v>-85.976274510873523</v>
      </c>
      <c r="M70" s="38">
        <f t="shared" si="34"/>
        <v>2.8503036043665744</v>
      </c>
      <c r="N70" s="38">
        <f t="shared" si="35"/>
        <v>69.461309219613256</v>
      </c>
      <c r="O70" s="38">
        <f t="shared" si="36"/>
        <v>8899.7539957437275</v>
      </c>
      <c r="P70" s="38">
        <f t="shared" si="37"/>
        <v>89.993562094001589</v>
      </c>
      <c r="Q70" s="38">
        <f t="shared" si="38"/>
        <v>1.0719323055928998</v>
      </c>
      <c r="R70" s="38">
        <f t="shared" si="39"/>
        <v>21.10935700407579</v>
      </c>
      <c r="S70" s="95">
        <f t="shared" si="40"/>
        <v>2.3264763483793458</v>
      </c>
      <c r="T70" s="95">
        <f t="shared" si="41"/>
        <v>-41.641609878464124</v>
      </c>
      <c r="U70" s="96">
        <f t="shared" si="42"/>
        <v>-9.149816375072314</v>
      </c>
      <c r="V70" s="96">
        <f t="shared" si="42"/>
        <v>-127.61788438933765</v>
      </c>
      <c r="W70" s="38">
        <f t="shared" si="20"/>
        <v>9.149816375072314</v>
      </c>
      <c r="X70" s="38">
        <f t="shared" si="21"/>
        <v>60255.958607435852</v>
      </c>
      <c r="Y70" s="38">
        <f t="shared" si="22"/>
        <v>-127.61788438933765</v>
      </c>
    </row>
    <row r="71" spans="1:25" x14ac:dyDescent="0.2">
      <c r="A71" s="38">
        <f t="shared" si="23"/>
        <v>64</v>
      </c>
      <c r="B71" s="38">
        <f t="shared" ref="B71:B102" si="43">Fmn*10^(LOG(Fmx/Fmn)*1/N*A71)</f>
        <v>69183.097091893695</v>
      </c>
      <c r="C71" s="38">
        <f t="shared" ref="C71:C102" si="44">SQRT(1+(B71/Fzesr)^2)</f>
        <v>1.0802597633642756</v>
      </c>
      <c r="D71" s="38">
        <f t="shared" ref="D71:D107" si="45">DEGREES(ATAN2(1,B71/Fzesr))</f>
        <v>22.225357223781042</v>
      </c>
      <c r="E71" s="38">
        <f t="shared" ref="E71:E107" si="46">SQRT(1+(B71/Fzrhp)^2)</f>
        <v>1.0349913479923543</v>
      </c>
      <c r="F71" s="38">
        <f t="shared" ref="F71:F107" si="47">DEGREES(ATAN2(1,-B71/Fzrhp))</f>
        <v>-14.941039969513609</v>
      </c>
      <c r="G71" s="38">
        <f t="shared" ref="G71:G107" si="48">SQRT(1+(B71/Fpload)^2)</f>
        <v>40.873115411458514</v>
      </c>
      <c r="H71" s="38">
        <f t="shared" ref="H71:H107" si="49">DEGREES(ATAN2(1,B71/Fpload))</f>
        <v>88.598063873406758</v>
      </c>
      <c r="I71" s="38">
        <f t="shared" ref="I71:I107" si="50">SQRT((1-(B71/(0.5*1000*F))^2)^2+(B71/(0.5*1000*F*Q))^2)</f>
        <v>0.99940455812443429</v>
      </c>
      <c r="J71" s="38">
        <f t="shared" ref="J71:J107" si="51">DEGREES(ATAN2((1-(B71/(0.5*1000*F))^2),(B71/(0.5*1000*F*Q))))</f>
        <v>4.699697579540441</v>
      </c>
      <c r="K71" s="94">
        <f t="shared" ref="K71:K107" si="52">20*LOG(Acm*C71*E71/(G71*I71))</f>
        <v>-12.451304153269845</v>
      </c>
      <c r="L71" s="94">
        <f t="shared" si="18"/>
        <v>-86.013444198679764</v>
      </c>
      <c r="M71" s="38">
        <f t="shared" ref="M71:M107" si="53">SQRT(1+(B71/Fzea)^2)</f>
        <v>3.2235950496830461</v>
      </c>
      <c r="N71" s="38">
        <f t="shared" ref="N71:N107" si="54">DEGREES(ATAN2(1,B71/Fzea))</f>
        <v>71.927953075994452</v>
      </c>
      <c r="O71" s="38">
        <f t="shared" ref="O71:O107" si="55">SQRT(1+(B71/Fpea)^2)</f>
        <v>10218.284765071603</v>
      </c>
      <c r="P71" s="38">
        <f t="shared" ref="P71:P107" si="56">DEGREES(ATAN2(1,B71/Fpea))</f>
        <v>89.994392818274122</v>
      </c>
      <c r="Q71" s="38">
        <f t="shared" ref="Q71:Q107" si="57">SQRT(1+(B71/Fp2ea)^2)</f>
        <v>1.0938333930491928</v>
      </c>
      <c r="R71" s="38">
        <f t="shared" ref="R71:R107" si="58">DEGREES(ATAN2(1,B71/Fp2ea))</f>
        <v>23.905365735153993</v>
      </c>
      <c r="S71" s="95">
        <f t="shared" ref="S71:S107" si="59">IF(AddPole="NO",20*LOG(Aea*Afb*M71/O71),20*LOG(Aea*Afb*M71/(O71*Q71)))</f>
        <v>2.0197871687326905</v>
      </c>
      <c r="T71" s="95">
        <f t="shared" ref="T71:T107" si="60">IF(AddPole="NO",N71-P71, N71-P71 -R71)</f>
        <v>-41.971805477433662</v>
      </c>
      <c r="U71" s="96">
        <f t="shared" ref="U71:V107" si="61">K71+S71</f>
        <v>-10.431516984537154</v>
      </c>
      <c r="V71" s="96">
        <f t="shared" si="61"/>
        <v>-127.98524967611343</v>
      </c>
      <c r="W71" s="38">
        <f t="shared" si="20"/>
        <v>10.431516984537154</v>
      </c>
      <c r="X71" s="38">
        <f t="shared" si="21"/>
        <v>69183.097091893695</v>
      </c>
      <c r="Y71" s="38">
        <f t="shared" si="22"/>
        <v>-127.98524967611343</v>
      </c>
    </row>
    <row r="72" spans="1:25" x14ac:dyDescent="0.2">
      <c r="A72" s="38">
        <f t="shared" si="23"/>
        <v>65</v>
      </c>
      <c r="B72" s="38">
        <f t="shared" si="43"/>
        <v>79432.82347242815</v>
      </c>
      <c r="C72" s="38">
        <f t="shared" si="44"/>
        <v>1.104580313706268</v>
      </c>
      <c r="D72" s="38">
        <f t="shared" si="45"/>
        <v>25.133418861723982</v>
      </c>
      <c r="E72" s="38">
        <f t="shared" si="46"/>
        <v>1.0458820329166585</v>
      </c>
      <c r="F72" s="38">
        <f t="shared" si="47"/>
        <v>-17.034061509649902</v>
      </c>
      <c r="G72" s="38">
        <f t="shared" si="48"/>
        <v>46.925224498923555</v>
      </c>
      <c r="H72" s="38">
        <f t="shared" si="49"/>
        <v>88.778905850653089</v>
      </c>
      <c r="I72" s="38">
        <f t="shared" si="50"/>
        <v>0.99921826516449086</v>
      </c>
      <c r="J72" s="38">
        <f t="shared" si="51"/>
        <v>5.3989169400788919</v>
      </c>
      <c r="K72" s="94">
        <f t="shared" si="52"/>
        <v>-13.364755634239295</v>
      </c>
      <c r="L72" s="94">
        <f t="shared" ref="L72:L107" si="62">D72+F72-H72-J72</f>
        <v>-86.078465438657901</v>
      </c>
      <c r="M72" s="38">
        <f t="shared" si="53"/>
        <v>3.6579357437348956</v>
      </c>
      <c r="N72" s="38">
        <f t="shared" si="54"/>
        <v>74.134609435589283</v>
      </c>
      <c r="O72" s="38">
        <f t="shared" si="55"/>
        <v>11732.160644939944</v>
      </c>
      <c r="P72" s="38">
        <f t="shared" si="56"/>
        <v>89.995116348870724</v>
      </c>
      <c r="Q72" s="38">
        <f t="shared" si="57"/>
        <v>1.122051633363198</v>
      </c>
      <c r="R72" s="38">
        <f t="shared" si="58"/>
        <v>26.972466840003886</v>
      </c>
      <c r="S72" s="95">
        <f t="shared" si="59"/>
        <v>1.6964657269192529</v>
      </c>
      <c r="T72" s="95">
        <f t="shared" si="60"/>
        <v>-42.83297375328533</v>
      </c>
      <c r="U72" s="96">
        <f t="shared" si="61"/>
        <v>-11.668289907320041</v>
      </c>
      <c r="V72" s="96">
        <f t="shared" si="61"/>
        <v>-128.91143919194323</v>
      </c>
      <c r="W72" s="38">
        <f t="shared" ref="W72:W107" si="63">ABS(U72)</f>
        <v>11.668289907320041</v>
      </c>
      <c r="X72" s="38">
        <f t="shared" ref="X72:X107" si="64">B72</f>
        <v>79432.82347242815</v>
      </c>
      <c r="Y72" s="38">
        <f t="shared" ref="Y72:Y107" si="65">V72</f>
        <v>-128.91143919194323</v>
      </c>
    </row>
    <row r="73" spans="1:25" x14ac:dyDescent="0.2">
      <c r="A73" s="38">
        <f t="shared" ref="A73:A107" si="66">A72+1</f>
        <v>66</v>
      </c>
      <c r="B73" s="38">
        <f t="shared" si="43"/>
        <v>91201.083935591087</v>
      </c>
      <c r="C73" s="38">
        <f t="shared" si="44"/>
        <v>1.1358456038842959</v>
      </c>
      <c r="D73" s="38">
        <f t="shared" si="45"/>
        <v>28.30918433748743</v>
      </c>
      <c r="E73" s="38">
        <f t="shared" si="46"/>
        <v>1.0600678000689501</v>
      </c>
      <c r="F73" s="38">
        <f t="shared" si="47"/>
        <v>-19.380458961787426</v>
      </c>
      <c r="G73" s="38">
        <f t="shared" si="48"/>
        <v>53.874412837940127</v>
      </c>
      <c r="H73" s="38">
        <f t="shared" si="49"/>
        <v>88.936432583046184</v>
      </c>
      <c r="I73" s="38">
        <f t="shared" si="50"/>
        <v>0.99897505429324374</v>
      </c>
      <c r="J73" s="38">
        <f t="shared" si="51"/>
        <v>6.2032354430967924</v>
      </c>
      <c r="K73" s="94">
        <f t="shared" si="52"/>
        <v>-14.20270617503985</v>
      </c>
      <c r="L73" s="94">
        <f t="shared" si="62"/>
        <v>-86.210942650442973</v>
      </c>
      <c r="M73" s="38">
        <f t="shared" si="53"/>
        <v>4.1618108459310772</v>
      </c>
      <c r="N73" s="38">
        <f t="shared" si="54"/>
        <v>76.096931952057915</v>
      </c>
      <c r="O73" s="38">
        <f t="shared" si="55"/>
        <v>13470.322720657761</v>
      </c>
      <c r="P73" s="38">
        <f t="shared" si="56"/>
        <v>89.995746517677873</v>
      </c>
      <c r="Q73" s="38">
        <f t="shared" si="57"/>
        <v>1.1582004667534567</v>
      </c>
      <c r="R73" s="38">
        <f t="shared" si="58"/>
        <v>30.298541914570585</v>
      </c>
      <c r="S73" s="95">
        <f t="shared" si="59"/>
        <v>1.3419731754664683</v>
      </c>
      <c r="T73" s="95">
        <f t="shared" si="60"/>
        <v>-44.197356480190543</v>
      </c>
      <c r="U73" s="96">
        <f t="shared" si="61"/>
        <v>-12.860732999573383</v>
      </c>
      <c r="V73" s="96">
        <f t="shared" si="61"/>
        <v>-130.40829913063351</v>
      </c>
      <c r="W73" s="38">
        <f t="shared" si="63"/>
        <v>12.860732999573383</v>
      </c>
      <c r="X73" s="38">
        <f t="shared" si="64"/>
        <v>91201.083935591087</v>
      </c>
      <c r="Y73" s="38">
        <f t="shared" si="65"/>
        <v>-130.40829913063351</v>
      </c>
    </row>
    <row r="74" spans="1:25" x14ac:dyDescent="0.2">
      <c r="A74" s="38">
        <f t="shared" si="66"/>
        <v>67</v>
      </c>
      <c r="B74" s="38">
        <f t="shared" si="43"/>
        <v>104712.85480509003</v>
      </c>
      <c r="C74" s="38">
        <f t="shared" si="44"/>
        <v>1.1757916109314641</v>
      </c>
      <c r="D74" s="38">
        <f t="shared" si="45"/>
        <v>31.734903483480469</v>
      </c>
      <c r="E74" s="38">
        <f t="shared" si="46"/>
        <v>1.0784832034337242</v>
      </c>
      <c r="F74" s="38">
        <f t="shared" si="47"/>
        <v>-21.993222003833552</v>
      </c>
      <c r="G74" s="38">
        <f t="shared" si="48"/>
        <v>61.853529595068991</v>
      </c>
      <c r="H74" s="38">
        <f t="shared" si="49"/>
        <v>89.073645818285129</v>
      </c>
      <c r="I74" s="38">
        <f t="shared" si="50"/>
        <v>0.99865856346836468</v>
      </c>
      <c r="J74" s="38">
        <f t="shared" si="51"/>
        <v>7.1289942220921398</v>
      </c>
      <c r="K74" s="94">
        <f t="shared" si="52"/>
        <v>-14.949776687017815</v>
      </c>
      <c r="L74" s="94">
        <f t="shared" si="62"/>
        <v>-86.460958560730361</v>
      </c>
      <c r="M74" s="38">
        <f t="shared" si="53"/>
        <v>4.7449797227117241</v>
      </c>
      <c r="N74" s="38">
        <f t="shared" si="54"/>
        <v>77.833747524868656</v>
      </c>
      <c r="O74" s="38">
        <f t="shared" si="55"/>
        <v>15465.999804166027</v>
      </c>
      <c r="P74" s="38">
        <f t="shared" si="56"/>
        <v>89.996295371765257</v>
      </c>
      <c r="Q74" s="38">
        <f t="shared" si="57"/>
        <v>1.2041969046381007</v>
      </c>
      <c r="R74" s="38">
        <f t="shared" si="58"/>
        <v>33.857170751633525</v>
      </c>
      <c r="S74" s="95">
        <f t="shared" si="59"/>
        <v>0.94273822664394524</v>
      </c>
      <c r="T74" s="95">
        <f t="shared" si="60"/>
        <v>-46.019718598530126</v>
      </c>
      <c r="U74" s="96">
        <f t="shared" si="61"/>
        <v>-14.00703846037387</v>
      </c>
      <c r="V74" s="96">
        <f t="shared" si="61"/>
        <v>-132.48067715926049</v>
      </c>
      <c r="W74" s="38">
        <f t="shared" si="63"/>
        <v>14.00703846037387</v>
      </c>
      <c r="X74" s="38">
        <f t="shared" si="64"/>
        <v>104712.85480509003</v>
      </c>
      <c r="Y74" s="38">
        <f t="shared" si="65"/>
        <v>-132.48067715926049</v>
      </c>
    </row>
    <row r="75" spans="1:25" x14ac:dyDescent="0.2">
      <c r="A75" s="38">
        <f t="shared" si="66"/>
        <v>68</v>
      </c>
      <c r="B75" s="38">
        <f t="shared" si="43"/>
        <v>120226.44346174151</v>
      </c>
      <c r="C75" s="38">
        <f t="shared" si="44"/>
        <v>1.2264642804993928</v>
      </c>
      <c r="D75" s="38">
        <f t="shared" si="45"/>
        <v>35.377826663991151</v>
      </c>
      <c r="E75" s="38">
        <f t="shared" si="46"/>
        <v>1.1022894244325192</v>
      </c>
      <c r="F75" s="38">
        <f t="shared" si="47"/>
        <v>-24.878389649383674</v>
      </c>
      <c r="G75" s="38">
        <f t="shared" si="48"/>
        <v>71.01511327463281</v>
      </c>
      <c r="H75" s="38">
        <f t="shared" si="49"/>
        <v>89.193162264205426</v>
      </c>
      <c r="I75" s="38">
        <f t="shared" si="50"/>
        <v>0.99824852018158261</v>
      </c>
      <c r="J75" s="38">
        <f t="shared" si="51"/>
        <v>8.1953471685054957</v>
      </c>
      <c r="K75" s="94">
        <f t="shared" si="52"/>
        <v>-15.589799476156907</v>
      </c>
      <c r="L75" s="94">
        <f t="shared" si="62"/>
        <v>-86.889072418103439</v>
      </c>
      <c r="M75" s="38">
        <f t="shared" si="53"/>
        <v>5.4186781610393906</v>
      </c>
      <c r="N75" s="38">
        <f t="shared" si="54"/>
        <v>79.365285928012383</v>
      </c>
      <c r="O75" s="38">
        <f t="shared" si="55"/>
        <v>17757.343676262051</v>
      </c>
      <c r="P75" s="38">
        <f t="shared" si="56"/>
        <v>89.996773403692131</v>
      </c>
      <c r="Q75" s="38">
        <f t="shared" si="57"/>
        <v>1.2622735121671866</v>
      </c>
      <c r="R75" s="38">
        <f t="shared" si="58"/>
        <v>37.606414557410467</v>
      </c>
      <c r="S75" s="95">
        <f t="shared" si="59"/>
        <v>0.48679890780405277</v>
      </c>
      <c r="T75" s="95">
        <f t="shared" si="60"/>
        <v>-48.237902033090215</v>
      </c>
      <c r="U75" s="96">
        <f t="shared" si="61"/>
        <v>-15.103000568352854</v>
      </c>
      <c r="V75" s="96">
        <f t="shared" si="61"/>
        <v>-135.12697445119366</v>
      </c>
      <c r="W75" s="38">
        <f t="shared" si="63"/>
        <v>15.103000568352854</v>
      </c>
      <c r="X75" s="38">
        <f t="shared" si="64"/>
        <v>120226.44346174151</v>
      </c>
      <c r="Y75" s="38">
        <f t="shared" si="65"/>
        <v>-135.12697445119366</v>
      </c>
    </row>
    <row r="76" spans="1:25" x14ac:dyDescent="0.2">
      <c r="A76" s="38">
        <f t="shared" si="66"/>
        <v>69</v>
      </c>
      <c r="B76" s="38">
        <f t="shared" si="43"/>
        <v>138038.42646028841</v>
      </c>
      <c r="C76" s="38">
        <f t="shared" si="44"/>
        <v>1.2902264667273973</v>
      </c>
      <c r="D76" s="38">
        <f t="shared" si="45"/>
        <v>39.189732885522481</v>
      </c>
      <c r="E76" s="38">
        <f t="shared" si="46"/>
        <v>1.1329079984273538</v>
      </c>
      <c r="F76" s="38">
        <f t="shared" si="47"/>
        <v>-28.03212730193659</v>
      </c>
      <c r="G76" s="38">
        <f t="shared" si="48"/>
        <v>81.534307836877076</v>
      </c>
      <c r="H76" s="38">
        <f t="shared" si="49"/>
        <v>89.297262495006905</v>
      </c>
      <c r="I76" s="38">
        <f t="shared" si="50"/>
        <v>0.9977204586035785</v>
      </c>
      <c r="J76" s="38">
        <f t="shared" si="51"/>
        <v>9.4248748473247943</v>
      </c>
      <c r="K76" s="94">
        <f t="shared" si="52"/>
        <v>-16.106794734137175</v>
      </c>
      <c r="L76" s="94">
        <f t="shared" si="62"/>
        <v>-87.564531758745801</v>
      </c>
      <c r="M76" s="38">
        <f t="shared" si="53"/>
        <v>6.1958448873997263</v>
      </c>
      <c r="N76" s="38">
        <f t="shared" si="54"/>
        <v>80.711921184883366</v>
      </c>
      <c r="O76" s="38">
        <f t="shared" si="55"/>
        <v>20388.158442260057</v>
      </c>
      <c r="P76" s="38">
        <f t="shared" si="56"/>
        <v>89.997189752095636</v>
      </c>
      <c r="Q76" s="38">
        <f t="shared" si="57"/>
        <v>1.334978313212698</v>
      </c>
      <c r="R76" s="38">
        <f t="shared" si="58"/>
        <v>41.489612491956727</v>
      </c>
      <c r="S76" s="95">
        <f t="shared" si="59"/>
        <v>-3.5472330697322231E-2</v>
      </c>
      <c r="T76" s="95">
        <f t="shared" si="60"/>
        <v>-50.774881059168997</v>
      </c>
      <c r="U76" s="96">
        <f t="shared" si="61"/>
        <v>-16.142267064834495</v>
      </c>
      <c r="V76" s="96">
        <f t="shared" si="61"/>
        <v>-138.33941281791479</v>
      </c>
      <c r="W76" s="38">
        <f t="shared" si="63"/>
        <v>16.142267064834495</v>
      </c>
      <c r="X76" s="38">
        <f t="shared" si="64"/>
        <v>138038.42646028841</v>
      </c>
      <c r="Y76" s="38">
        <f t="shared" si="65"/>
        <v>-138.33941281791479</v>
      </c>
    </row>
    <row r="77" spans="1:25" x14ac:dyDescent="0.2">
      <c r="A77" s="38">
        <f t="shared" si="66"/>
        <v>70</v>
      </c>
      <c r="B77" s="38">
        <f t="shared" si="43"/>
        <v>158489.31924611147</v>
      </c>
      <c r="C77" s="38">
        <f t="shared" si="44"/>
        <v>1.3697534830077136</v>
      </c>
      <c r="D77" s="38">
        <f t="shared" si="45"/>
        <v>43.108712060620178</v>
      </c>
      <c r="E77" s="38">
        <f t="shared" si="46"/>
        <v>1.1720495393736028</v>
      </c>
      <c r="F77" s="38">
        <f t="shared" si="47"/>
        <v>-31.437868874127634</v>
      </c>
      <c r="G77" s="38">
        <f t="shared" si="48"/>
        <v>93.61221096693329</v>
      </c>
      <c r="H77" s="38">
        <f t="shared" si="49"/>
        <v>89.387933810388887</v>
      </c>
      <c r="I77" s="38">
        <f t="shared" si="50"/>
        <v>0.99704606213497793</v>
      </c>
      <c r="J77" s="38">
        <f t="shared" si="51"/>
        <v>10.844386381474099</v>
      </c>
      <c r="K77" s="94">
        <f t="shared" si="52"/>
        <v>-16.48620806025907</v>
      </c>
      <c r="L77" s="94">
        <f t="shared" si="62"/>
        <v>-88.561477005370435</v>
      </c>
      <c r="M77" s="38">
        <f t="shared" si="53"/>
        <v>7.0913774393210565</v>
      </c>
      <c r="N77" s="38">
        <f t="shared" si="54"/>
        <v>81.893339030901771</v>
      </c>
      <c r="O77" s="38">
        <f t="shared" si="55"/>
        <v>23408.737944335338</v>
      </c>
      <c r="P77" s="38">
        <f t="shared" si="56"/>
        <v>89.997552376396072</v>
      </c>
      <c r="Q77" s="38">
        <f t="shared" si="57"/>
        <v>1.4251656205386956</v>
      </c>
      <c r="R77" s="38">
        <f t="shared" si="58"/>
        <v>45.438629731985287</v>
      </c>
      <c r="S77" s="95">
        <f t="shared" si="59"/>
        <v>-0.63069356748981453</v>
      </c>
      <c r="T77" s="95">
        <f t="shared" si="60"/>
        <v>-53.542843077479588</v>
      </c>
      <c r="U77" s="96">
        <f t="shared" si="61"/>
        <v>-17.116901627748884</v>
      </c>
      <c r="V77" s="96">
        <f t="shared" si="61"/>
        <v>-142.10432008285002</v>
      </c>
      <c r="W77" s="38">
        <f t="shared" si="63"/>
        <v>17.116901627748884</v>
      </c>
      <c r="X77" s="38">
        <f t="shared" si="64"/>
        <v>158489.31924611147</v>
      </c>
      <c r="Y77" s="38">
        <f t="shared" si="65"/>
        <v>-142.10432008285002</v>
      </c>
    </row>
    <row r="78" spans="1:25" x14ac:dyDescent="0.2">
      <c r="A78" s="38">
        <f t="shared" si="66"/>
        <v>71</v>
      </c>
      <c r="B78" s="38">
        <f t="shared" si="43"/>
        <v>181970.08586099837</v>
      </c>
      <c r="C78" s="38">
        <f t="shared" si="44"/>
        <v>1.4680221350480638</v>
      </c>
      <c r="D78" s="38">
        <f t="shared" si="45"/>
        <v>47.063402553204078</v>
      </c>
      <c r="E78" s="38">
        <f t="shared" si="46"/>
        <v>1.221733483624438</v>
      </c>
      <c r="F78" s="38">
        <f t="shared" si="47"/>
        <v>-35.064171658075317</v>
      </c>
      <c r="G78" s="38">
        <f t="shared" si="48"/>
        <v>107.47971850498472</v>
      </c>
      <c r="H78" s="38">
        <f t="shared" si="49"/>
        <v>89.466907738632642</v>
      </c>
      <c r="I78" s="38">
        <f t="shared" si="50"/>
        <v>0.99619486512416211</v>
      </c>
      <c r="J78" s="38">
        <f t="shared" si="51"/>
        <v>12.485982288676526</v>
      </c>
      <c r="K78" s="94">
        <f t="shared" si="52"/>
        <v>-16.716255965743368</v>
      </c>
      <c r="L78" s="94">
        <f t="shared" si="62"/>
        <v>-89.953659132180405</v>
      </c>
      <c r="M78" s="38">
        <f t="shared" si="53"/>
        <v>8.1224230147627754</v>
      </c>
      <c r="N78" s="38">
        <f t="shared" si="54"/>
        <v>82.928031504891734</v>
      </c>
      <c r="O78" s="38">
        <f t="shared" si="55"/>
        <v>26876.827239539445</v>
      </c>
      <c r="P78" s="38">
        <f t="shared" si="56"/>
        <v>89.997868208958764</v>
      </c>
      <c r="Q78" s="38">
        <f t="shared" si="57"/>
        <v>1.5359852307068425</v>
      </c>
      <c r="R78" s="38">
        <f t="shared" si="58"/>
        <v>49.379342267974543</v>
      </c>
      <c r="S78" s="95">
        <f t="shared" si="59"/>
        <v>-1.3020275676395785</v>
      </c>
      <c r="T78" s="95">
        <f t="shared" si="60"/>
        <v>-56.449178972041572</v>
      </c>
      <c r="U78" s="96">
        <f t="shared" si="61"/>
        <v>-18.018283533382945</v>
      </c>
      <c r="V78" s="96">
        <f t="shared" si="61"/>
        <v>-146.40283810422198</v>
      </c>
      <c r="W78" s="38">
        <f t="shared" si="63"/>
        <v>18.018283533382945</v>
      </c>
      <c r="X78" s="38">
        <f t="shared" si="64"/>
        <v>181970.08586099837</v>
      </c>
      <c r="Y78" s="38">
        <f t="shared" si="65"/>
        <v>-146.40283810422198</v>
      </c>
    </row>
    <row r="79" spans="1:25" x14ac:dyDescent="0.2">
      <c r="A79" s="38">
        <f t="shared" si="66"/>
        <v>72</v>
      </c>
      <c r="B79" s="38">
        <f t="shared" si="43"/>
        <v>208929.61308540424</v>
      </c>
      <c r="C79" s="38">
        <f t="shared" si="44"/>
        <v>1.5883021889331379</v>
      </c>
      <c r="D79" s="38">
        <f t="shared" si="45"/>
        <v>50.979153118099902</v>
      </c>
      <c r="E79" s="38">
        <f t="shared" si="46"/>
        <v>1.284296065170148</v>
      </c>
      <c r="F79" s="38">
        <f t="shared" si="47"/>
        <v>-38.864081691495272</v>
      </c>
      <c r="G79" s="38">
        <f t="shared" si="48"/>
        <v>123.4019385329824</v>
      </c>
      <c r="H79" s="38">
        <f t="shared" si="49"/>
        <v>89.535692815694702</v>
      </c>
      <c r="I79" s="38">
        <f t="shared" si="50"/>
        <v>0.99513868290878305</v>
      </c>
      <c r="J79" s="38">
        <f t="shared" si="51"/>
        <v>14.388479855816909</v>
      </c>
      <c r="K79" s="94">
        <f t="shared" si="52"/>
        <v>-16.789167277089245</v>
      </c>
      <c r="L79" s="94">
        <f t="shared" si="62"/>
        <v>-91.809101244906984</v>
      </c>
      <c r="M79" s="38">
        <f t="shared" si="53"/>
        <v>9.3087105008992026</v>
      </c>
      <c r="N79" s="38">
        <f t="shared" si="54"/>
        <v>83.833027840128324</v>
      </c>
      <c r="O79" s="38">
        <f t="shared" si="55"/>
        <v>30858.726524266644</v>
      </c>
      <c r="P79" s="38">
        <f t="shared" si="56"/>
        <v>89.998143287621474</v>
      </c>
      <c r="Q79" s="38">
        <f t="shared" si="57"/>
        <v>1.6708803969763324</v>
      </c>
      <c r="R79" s="38">
        <f t="shared" si="58"/>
        <v>53.238394714545009</v>
      </c>
      <c r="S79" s="95">
        <f t="shared" si="59"/>
        <v>-2.0491156421467096</v>
      </c>
      <c r="T79" s="95">
        <f t="shared" si="60"/>
        <v>-59.40351016203816</v>
      </c>
      <c r="U79" s="96">
        <f t="shared" si="61"/>
        <v>-18.838282919235954</v>
      </c>
      <c r="V79" s="96">
        <f t="shared" si="61"/>
        <v>-151.21261140694514</v>
      </c>
      <c r="W79" s="38">
        <f t="shared" si="63"/>
        <v>18.838282919235954</v>
      </c>
      <c r="X79" s="38">
        <f t="shared" si="64"/>
        <v>208929.61308540424</v>
      </c>
      <c r="Y79" s="38">
        <f t="shared" si="65"/>
        <v>-151.21261140694514</v>
      </c>
    </row>
    <row r="80" spans="1:25" x14ac:dyDescent="0.2">
      <c r="A80" s="38">
        <f t="shared" si="66"/>
        <v>73</v>
      </c>
      <c r="B80" s="38">
        <f t="shared" si="43"/>
        <v>239883.29190194924</v>
      </c>
      <c r="C80" s="38">
        <f t="shared" si="44"/>
        <v>1.7341610658609459</v>
      </c>
      <c r="D80" s="38">
        <f t="shared" si="45"/>
        <v>54.784896117399143</v>
      </c>
      <c r="E80" s="38">
        <f t="shared" si="46"/>
        <v>1.3623867009897999</v>
      </c>
      <c r="F80" s="38">
        <f t="shared" si="47"/>
        <v>-42.776709788135996</v>
      </c>
      <c r="G80" s="38">
        <f t="shared" si="48"/>
        <v>141.68325950330095</v>
      </c>
      <c r="H80" s="38">
        <f t="shared" si="49"/>
        <v>89.595603210810722</v>
      </c>
      <c r="I80" s="38">
        <f t="shared" si="50"/>
        <v>0.99386127977282801</v>
      </c>
      <c r="J80" s="38">
        <f t="shared" si="51"/>
        <v>16.599338090251727</v>
      </c>
      <c r="K80" s="94">
        <f t="shared" si="52"/>
        <v>-16.702110863307766</v>
      </c>
      <c r="L80" s="94">
        <f t="shared" si="62"/>
        <v>-94.186754971799303</v>
      </c>
      <c r="M80" s="38">
        <f t="shared" si="53"/>
        <v>10.672930543298474</v>
      </c>
      <c r="N80" s="38">
        <f t="shared" si="54"/>
        <v>84.623787434200622</v>
      </c>
      <c r="O80" s="38">
        <f t="shared" si="55"/>
        <v>35430.558609127365</v>
      </c>
      <c r="P80" s="38">
        <f t="shared" si="56"/>
        <v>89.998382871121152</v>
      </c>
      <c r="Q80" s="38">
        <f t="shared" si="57"/>
        <v>1.8336048836831356</v>
      </c>
      <c r="R80" s="38">
        <f t="shared" si="58"/>
        <v>56.949790836537254</v>
      </c>
      <c r="S80" s="95">
        <f t="shared" si="59"/>
        <v>-2.8684403218916183</v>
      </c>
      <c r="T80" s="95">
        <f t="shared" si="60"/>
        <v>-62.324386273457783</v>
      </c>
      <c r="U80" s="96">
        <f t="shared" si="61"/>
        <v>-19.570551185199385</v>
      </c>
      <c r="V80" s="96">
        <f t="shared" si="61"/>
        <v>-156.51114124525708</v>
      </c>
      <c r="W80" s="38">
        <f t="shared" si="63"/>
        <v>19.570551185199385</v>
      </c>
      <c r="X80" s="38">
        <f t="shared" si="64"/>
        <v>239883.29190194924</v>
      </c>
      <c r="Y80" s="38">
        <f t="shared" si="65"/>
        <v>-156.51114124525708</v>
      </c>
    </row>
    <row r="81" spans="1:25" x14ac:dyDescent="0.2">
      <c r="A81" s="38">
        <f t="shared" si="66"/>
        <v>74</v>
      </c>
      <c r="B81" s="38">
        <f t="shared" si="43"/>
        <v>275422.87033381674</v>
      </c>
      <c r="C81" s="38">
        <f t="shared" si="44"/>
        <v>1.9094910319108298</v>
      </c>
      <c r="D81" s="38">
        <f t="shared" si="45"/>
        <v>58.419246916051314</v>
      </c>
      <c r="E81" s="38">
        <f t="shared" si="46"/>
        <v>1.4589572744261046</v>
      </c>
      <c r="F81" s="38">
        <f t="shared" si="47"/>
        <v>-46.731272106563836</v>
      </c>
      <c r="G81" s="38">
        <f t="shared" si="48"/>
        <v>162.67316929807097</v>
      </c>
      <c r="H81" s="38">
        <f t="shared" si="49"/>
        <v>89.647783708726536</v>
      </c>
      <c r="I81" s="38">
        <f t="shared" si="50"/>
        <v>0.99237781552999482</v>
      </c>
      <c r="J81" s="38">
        <f t="shared" si="51"/>
        <v>19.177255676876264</v>
      </c>
      <c r="K81" s="94">
        <f t="shared" si="52"/>
        <v>-16.457676759838186</v>
      </c>
      <c r="L81" s="94">
        <f t="shared" si="62"/>
        <v>-97.137064576115307</v>
      </c>
      <c r="M81" s="38">
        <f t="shared" si="53"/>
        <v>12.241171310512676</v>
      </c>
      <c r="N81" s="38">
        <f t="shared" si="54"/>
        <v>85.314198495648768</v>
      </c>
      <c r="O81" s="38">
        <f t="shared" si="55"/>
        <v>40679.72417481539</v>
      </c>
      <c r="P81" s="38">
        <f t="shared" si="56"/>
        <v>89.998591539626162</v>
      </c>
      <c r="Q81" s="38">
        <f t="shared" si="57"/>
        <v>2.0282660816236069</v>
      </c>
      <c r="R81" s="38">
        <f t="shared" si="58"/>
        <v>60.459940976684727</v>
      </c>
      <c r="S81" s="95">
        <f t="shared" si="59"/>
        <v>-3.7540378904497635</v>
      </c>
      <c r="T81" s="95">
        <f t="shared" si="60"/>
        <v>-65.144334020662114</v>
      </c>
      <c r="U81" s="96">
        <f t="shared" si="61"/>
        <v>-20.211714650287949</v>
      </c>
      <c r="V81" s="96">
        <f t="shared" si="61"/>
        <v>-162.28139859677742</v>
      </c>
      <c r="W81" s="38">
        <f t="shared" si="63"/>
        <v>20.211714650287949</v>
      </c>
      <c r="X81" s="38">
        <f t="shared" si="64"/>
        <v>275422.87033381674</v>
      </c>
      <c r="Y81" s="38">
        <f t="shared" si="65"/>
        <v>-162.28139859677742</v>
      </c>
    </row>
    <row r="82" spans="1:25" x14ac:dyDescent="0.2">
      <c r="A82" s="38">
        <f t="shared" si="66"/>
        <v>75</v>
      </c>
      <c r="B82" s="38">
        <f t="shared" si="43"/>
        <v>316227.76601683837</v>
      </c>
      <c r="C82" s="38">
        <f t="shared" si="44"/>
        <v>2.1185638955483577</v>
      </c>
      <c r="D82" s="38">
        <f t="shared" si="45"/>
        <v>61.834639773695073</v>
      </c>
      <c r="E82" s="38">
        <f t="shared" si="46"/>
        <v>1.5772529870057463</v>
      </c>
      <c r="F82" s="38">
        <f t="shared" si="47"/>
        <v>-50.653129332664477</v>
      </c>
      <c r="G82" s="38">
        <f t="shared" si="48"/>
        <v>186.77293646353138</v>
      </c>
      <c r="H82" s="38">
        <f t="shared" si="49"/>
        <v>89.693231501604117</v>
      </c>
      <c r="I82" s="38">
        <f t="shared" si="50"/>
        <v>0.99077219543444128</v>
      </c>
      <c r="J82" s="38">
        <f t="shared" si="51"/>
        <v>22.195631493244225</v>
      </c>
      <c r="K82" s="94">
        <f t="shared" si="52"/>
        <v>-16.063917829741388</v>
      </c>
      <c r="L82" s="94">
        <f t="shared" si="62"/>
        <v>-100.70735255381774</v>
      </c>
      <c r="M82" s="38">
        <f t="shared" si="53"/>
        <v>14.043418568783675</v>
      </c>
      <c r="N82" s="38">
        <f t="shared" si="54"/>
        <v>85.916641653082195</v>
      </c>
      <c r="O82" s="38">
        <f t="shared" si="55"/>
        <v>46706.572629401642</v>
      </c>
      <c r="P82" s="38">
        <f t="shared" si="56"/>
        <v>89.99877328229644</v>
      </c>
      <c r="Q82" s="38">
        <f t="shared" si="57"/>
        <v>2.2593962192040888</v>
      </c>
      <c r="R82" s="38">
        <f t="shared" si="58"/>
        <v>63.730358513104889</v>
      </c>
      <c r="S82" s="95">
        <f t="shared" si="59"/>
        <v>-4.6983899906149649</v>
      </c>
      <c r="T82" s="95">
        <f t="shared" si="60"/>
        <v>-67.812490142319135</v>
      </c>
      <c r="U82" s="96">
        <f t="shared" si="61"/>
        <v>-20.762307820356355</v>
      </c>
      <c r="V82" s="96">
        <f t="shared" si="61"/>
        <v>-168.51984269613689</v>
      </c>
      <c r="W82" s="38">
        <f t="shared" si="63"/>
        <v>20.762307820356355</v>
      </c>
      <c r="X82" s="38">
        <f t="shared" si="64"/>
        <v>316227.76601683837</v>
      </c>
      <c r="Y82" s="38">
        <f t="shared" si="65"/>
        <v>-168.51984269613689</v>
      </c>
    </row>
    <row r="83" spans="1:25" x14ac:dyDescent="0.2">
      <c r="A83" s="38">
        <f t="shared" si="66"/>
        <v>76</v>
      </c>
      <c r="B83" s="38">
        <f t="shared" si="43"/>
        <v>363078.05477010168</v>
      </c>
      <c r="C83" s="38">
        <f t="shared" si="44"/>
        <v>2.366113287957146</v>
      </c>
      <c r="D83" s="38">
        <f t="shared" si="45"/>
        <v>64.999002992375395</v>
      </c>
      <c r="E83" s="38">
        <f t="shared" si="46"/>
        <v>1.72081554012419</v>
      </c>
      <c r="F83" s="38">
        <f t="shared" si="47"/>
        <v>-54.470657278522772</v>
      </c>
      <c r="G83" s="38">
        <f t="shared" si="48"/>
        <v>214.44328134607937</v>
      </c>
      <c r="H83" s="38">
        <f t="shared" si="49"/>
        <v>89.732815190979991</v>
      </c>
      <c r="I83" s="38">
        <f t="shared" si="50"/>
        <v>0.9892666800114438</v>
      </c>
      <c r="J83" s="38">
        <f t="shared" si="51"/>
        <v>25.747012923065864</v>
      </c>
      <c r="K83" s="94">
        <f t="shared" si="52"/>
        <v>-15.53414062990765</v>
      </c>
      <c r="L83" s="94">
        <f t="shared" si="62"/>
        <v>-104.95148240019323</v>
      </c>
      <c r="M83" s="38">
        <f t="shared" si="53"/>
        <v>16.114129828939411</v>
      </c>
      <c r="N83" s="38">
        <f t="shared" si="54"/>
        <v>86.442090300745591</v>
      </c>
      <c r="O83" s="38">
        <f t="shared" si="55"/>
        <v>53626.320509187295</v>
      </c>
      <c r="P83" s="38">
        <f t="shared" si="56"/>
        <v>89.998931573545008</v>
      </c>
      <c r="Q83" s="38">
        <f t="shared" si="57"/>
        <v>2.5320494109795106</v>
      </c>
      <c r="R83" s="38">
        <f t="shared" si="58"/>
        <v>66.737954984825265</v>
      </c>
      <c r="S83" s="95">
        <f t="shared" si="59"/>
        <v>-5.6933052027503939</v>
      </c>
      <c r="T83" s="95">
        <f t="shared" si="60"/>
        <v>-70.294796257624682</v>
      </c>
      <c r="U83" s="96">
        <f t="shared" si="61"/>
        <v>-21.227445832658045</v>
      </c>
      <c r="V83" s="96">
        <f t="shared" si="61"/>
        <v>-175.24627865781792</v>
      </c>
      <c r="W83" s="38">
        <f t="shared" si="63"/>
        <v>21.227445832658045</v>
      </c>
      <c r="X83" s="38">
        <f t="shared" si="64"/>
        <v>363078.05477010168</v>
      </c>
      <c r="Y83" s="38">
        <f t="shared" si="65"/>
        <v>-175.24627865781792</v>
      </c>
    </row>
    <row r="84" spans="1:25" x14ac:dyDescent="0.2">
      <c r="A84" s="38">
        <f t="shared" si="66"/>
        <v>77</v>
      </c>
      <c r="B84" s="38">
        <f t="shared" si="43"/>
        <v>416869.38347033627</v>
      </c>
      <c r="C84" s="38">
        <f t="shared" si="44"/>
        <v>2.6574410975125793</v>
      </c>
      <c r="D84" s="38">
        <f t="shared" si="45"/>
        <v>67.895202039170002</v>
      </c>
      <c r="E84" s="38">
        <f t="shared" si="46"/>
        <v>1.8935081693824423</v>
      </c>
      <c r="F84" s="38">
        <f t="shared" si="47"/>
        <v>-58.121464818997445</v>
      </c>
      <c r="G84" s="38">
        <f t="shared" si="48"/>
        <v>246.21318378082157</v>
      </c>
      <c r="H84" s="38">
        <f t="shared" si="49"/>
        <v>89.767291352318509</v>
      </c>
      <c r="I84" s="38">
        <f t="shared" si="50"/>
        <v>0.9883486571733856</v>
      </c>
      <c r="J84" s="38">
        <f t="shared" si="51"/>
        <v>29.948359281065642</v>
      </c>
      <c r="K84" s="94">
        <f t="shared" si="52"/>
        <v>-14.886834199836766</v>
      </c>
      <c r="L84" s="94">
        <f t="shared" si="62"/>
        <v>-109.94191341321161</v>
      </c>
      <c r="M84" s="38">
        <f t="shared" si="53"/>
        <v>18.492893682564219</v>
      </c>
      <c r="N84" s="38">
        <f t="shared" si="54"/>
        <v>86.900228797343303</v>
      </c>
      <c r="O84" s="38">
        <f t="shared" si="55"/>
        <v>61571.254097591569</v>
      </c>
      <c r="P84" s="38">
        <f t="shared" si="56"/>
        <v>89.999069439459134</v>
      </c>
      <c r="Q84" s="38">
        <f t="shared" si="57"/>
        <v>2.8519201784445567</v>
      </c>
      <c r="R84" s="38">
        <f t="shared" si="58"/>
        <v>69.473476530886344</v>
      </c>
      <c r="S84" s="95">
        <f t="shared" si="59"/>
        <v>-6.730648705457253</v>
      </c>
      <c r="T84" s="95">
        <f t="shared" si="60"/>
        <v>-72.572317173002176</v>
      </c>
      <c r="U84" s="96">
        <f t="shared" si="61"/>
        <v>-21.617482905294018</v>
      </c>
      <c r="V84" s="96">
        <f t="shared" si="61"/>
        <v>-182.51423058621378</v>
      </c>
      <c r="W84" s="38">
        <f t="shared" si="63"/>
        <v>21.617482905294018</v>
      </c>
      <c r="X84" s="38">
        <f t="shared" si="64"/>
        <v>416869.38347033627</v>
      </c>
      <c r="Y84" s="38">
        <f t="shared" si="65"/>
        <v>-182.51423058621378</v>
      </c>
    </row>
    <row r="85" spans="1:25" x14ac:dyDescent="0.2">
      <c r="A85" s="38">
        <f t="shared" si="66"/>
        <v>78</v>
      </c>
      <c r="B85" s="38">
        <f t="shared" si="43"/>
        <v>478630.09232263826</v>
      </c>
      <c r="C85" s="38">
        <f t="shared" si="44"/>
        <v>2.9985435410403296</v>
      </c>
      <c r="D85" s="38">
        <f t="shared" si="45"/>
        <v>70.518939736644839</v>
      </c>
      <c r="E85" s="38">
        <f t="shared" si="46"/>
        <v>2.0995679617789724</v>
      </c>
      <c r="F85" s="38">
        <f t="shared" si="47"/>
        <v>-61.556724999948671</v>
      </c>
      <c r="G85" s="38">
        <f t="shared" si="48"/>
        <v>282.68999571110896</v>
      </c>
      <c r="H85" s="38">
        <f t="shared" si="49"/>
        <v>89.797318971742044</v>
      </c>
      <c r="I85" s="38">
        <f t="shared" si="50"/>
        <v>0.98899637826702813</v>
      </c>
      <c r="J85" s="38">
        <f t="shared" si="51"/>
        <v>34.94605917031172</v>
      </c>
      <c r="K85" s="94">
        <f t="shared" si="52"/>
        <v>-14.146318072199888</v>
      </c>
      <c r="L85" s="94">
        <f t="shared" si="62"/>
        <v>-115.7811634053576</v>
      </c>
      <c r="M85" s="38">
        <f t="shared" si="53"/>
        <v>21.225187029157148</v>
      </c>
      <c r="N85" s="38">
        <f t="shared" si="54"/>
        <v>87.299576331699356</v>
      </c>
      <c r="O85" s="38">
        <f t="shared" si="55"/>
        <v>70693.258370003416</v>
      </c>
      <c r="P85" s="38">
        <f t="shared" si="56"/>
        <v>89.999189515650627</v>
      </c>
      <c r="Q85" s="38">
        <f t="shared" si="57"/>
        <v>3.2254793168587255</v>
      </c>
      <c r="R85" s="38">
        <f t="shared" si="58"/>
        <v>71.938874728751813</v>
      </c>
      <c r="S85" s="95">
        <f t="shared" si="59"/>
        <v>-7.8028535538021435</v>
      </c>
      <c r="T85" s="95">
        <f t="shared" si="60"/>
        <v>-74.638487912703084</v>
      </c>
      <c r="U85" s="96">
        <f t="shared" si="61"/>
        <v>-21.94917162600203</v>
      </c>
      <c r="V85" s="96">
        <f t="shared" si="61"/>
        <v>-190.41965131806069</v>
      </c>
      <c r="W85" s="38">
        <f t="shared" si="63"/>
        <v>21.94917162600203</v>
      </c>
      <c r="X85" s="38">
        <f t="shared" si="64"/>
        <v>478630.09232263826</v>
      </c>
      <c r="Y85" s="38">
        <f t="shared" si="65"/>
        <v>-190.41965131806069</v>
      </c>
    </row>
    <row r="86" spans="1:25" x14ac:dyDescent="0.2">
      <c r="A86" s="38">
        <f t="shared" si="66"/>
        <v>79</v>
      </c>
      <c r="B86" s="38">
        <f t="shared" si="43"/>
        <v>549540.87385762506</v>
      </c>
      <c r="C86" s="38">
        <f t="shared" si="44"/>
        <v>3.3962533450561687</v>
      </c>
      <c r="D86" s="38">
        <f t="shared" si="45"/>
        <v>72.875913149165314</v>
      </c>
      <c r="E86" s="38">
        <f t="shared" si="46"/>
        <v>2.3436859149415197</v>
      </c>
      <c r="F86" s="38">
        <f t="shared" si="47"/>
        <v>-64.743057235053314</v>
      </c>
      <c r="G86" s="38">
        <f t="shared" si="48"/>
        <v>324.57105206418544</v>
      </c>
      <c r="H86" s="38">
        <f t="shared" si="49"/>
        <v>89.823472026245881</v>
      </c>
      <c r="I86" s="38">
        <f t="shared" si="50"/>
        <v>0.99306948316678578</v>
      </c>
      <c r="J86" s="38">
        <f t="shared" si="51"/>
        <v>40.917427109568919</v>
      </c>
      <c r="K86" s="94">
        <f t="shared" si="52"/>
        <v>-13.344819801406798</v>
      </c>
      <c r="L86" s="94">
        <f t="shared" si="62"/>
        <v>-122.6080432217028</v>
      </c>
      <c r="M86" s="38">
        <f t="shared" si="53"/>
        <v>24.363244736468161</v>
      </c>
      <c r="N86" s="38">
        <f t="shared" si="54"/>
        <v>87.647608916320948</v>
      </c>
      <c r="O86" s="38">
        <f t="shared" si="55"/>
        <v>81166.720610973804</v>
      </c>
      <c r="P86" s="38">
        <f t="shared" si="56"/>
        <v>89.999294097641453</v>
      </c>
      <c r="Q86" s="38">
        <f t="shared" si="57"/>
        <v>3.6601247342178529</v>
      </c>
      <c r="R86" s="38">
        <f t="shared" si="58"/>
        <v>74.144347914926641</v>
      </c>
      <c r="S86" s="95">
        <f t="shared" si="59"/>
        <v>-8.9032140063895042</v>
      </c>
      <c r="T86" s="95">
        <f t="shared" si="60"/>
        <v>-76.496033096247146</v>
      </c>
      <c r="U86" s="96">
        <f t="shared" si="61"/>
        <v>-22.248033807796304</v>
      </c>
      <c r="V86" s="96">
        <f t="shared" si="61"/>
        <v>-199.10407631794993</v>
      </c>
      <c r="W86" s="38">
        <f t="shared" si="63"/>
        <v>22.248033807796304</v>
      </c>
      <c r="X86" s="38">
        <f t="shared" si="64"/>
        <v>549540.87385762506</v>
      </c>
      <c r="Y86" s="38">
        <f t="shared" si="65"/>
        <v>-199.10407631794993</v>
      </c>
    </row>
    <row r="87" spans="1:25" x14ac:dyDescent="0.2">
      <c r="A87" s="38">
        <f t="shared" si="66"/>
        <v>80</v>
      </c>
      <c r="B87" s="38">
        <f t="shared" si="43"/>
        <v>630957.34448019345</v>
      </c>
      <c r="C87" s="38">
        <f t="shared" si="44"/>
        <v>3.8583965714816757</v>
      </c>
      <c r="D87" s="38">
        <f t="shared" si="45"/>
        <v>74.978883741565667</v>
      </c>
      <c r="E87" s="38">
        <f t="shared" si="46"/>
        <v>2.6311115152380347</v>
      </c>
      <c r="F87" s="38">
        <f t="shared" si="47"/>
        <v>-67.662135605741497</v>
      </c>
      <c r="G87" s="38">
        <f t="shared" si="48"/>
        <v>372.657001850516</v>
      </c>
      <c r="H87" s="38">
        <f t="shared" si="49"/>
        <v>89.846250444801868</v>
      </c>
      <c r="I87" s="38">
        <f t="shared" si="50"/>
        <v>1.0039546685777381</v>
      </c>
      <c r="J87" s="38">
        <f t="shared" si="51"/>
        <v>48.060715165605792</v>
      </c>
      <c r="K87" s="94">
        <f t="shared" si="52"/>
        <v>-12.526566612036822</v>
      </c>
      <c r="L87" s="94">
        <f t="shared" si="62"/>
        <v>-130.59021747458348</v>
      </c>
      <c r="M87" s="38">
        <f t="shared" si="53"/>
        <v>27.967058404196038</v>
      </c>
      <c r="N87" s="38">
        <f t="shared" si="54"/>
        <v>87.950875109924212</v>
      </c>
      <c r="O87" s="38">
        <f t="shared" si="55"/>
        <v>93191.864212807661</v>
      </c>
      <c r="P87" s="38">
        <f t="shared" si="56"/>
        <v>89.999385184747638</v>
      </c>
      <c r="Q87" s="38">
        <f t="shared" si="57"/>
        <v>4.16434711439548</v>
      </c>
      <c r="R87" s="38">
        <f t="shared" si="58"/>
        <v>76.105569567104368</v>
      </c>
      <c r="S87" s="95">
        <f t="shared" si="59"/>
        <v>-10.02600150418419</v>
      </c>
      <c r="T87" s="95">
        <f t="shared" si="60"/>
        <v>-78.154079641927794</v>
      </c>
      <c r="U87" s="96">
        <f t="shared" si="61"/>
        <v>-22.552568116221011</v>
      </c>
      <c r="V87" s="96">
        <f t="shared" si="61"/>
        <v>-208.74429711651129</v>
      </c>
      <c r="W87" s="38">
        <f t="shared" si="63"/>
        <v>22.552568116221011</v>
      </c>
      <c r="X87" s="38">
        <f t="shared" si="64"/>
        <v>630957.34448019345</v>
      </c>
      <c r="Y87" s="38">
        <f t="shared" si="65"/>
        <v>-208.74429711651129</v>
      </c>
    </row>
    <row r="88" spans="1:25" x14ac:dyDescent="0.2">
      <c r="A88" s="38">
        <f t="shared" si="66"/>
        <v>81</v>
      </c>
      <c r="B88" s="38">
        <f t="shared" si="43"/>
        <v>724435.96007498982</v>
      </c>
      <c r="C88" s="38">
        <f t="shared" si="44"/>
        <v>4.3939648102126894</v>
      </c>
      <c r="D88" s="38">
        <f t="shared" si="45"/>
        <v>76.845074268942227</v>
      </c>
      <c r="E88" s="38">
        <f t="shared" si="46"/>
        <v>2.9677773173751323</v>
      </c>
      <c r="F88" s="38">
        <f t="shared" si="47"/>
        <v>-70.308687444548028</v>
      </c>
      <c r="G88" s="38">
        <f t="shared" si="48"/>
        <v>427.86711434027552</v>
      </c>
      <c r="H88" s="38">
        <f t="shared" si="49"/>
        <v>89.866089657852129</v>
      </c>
      <c r="I88" s="38">
        <f t="shared" si="50"/>
        <v>1.0275519174930126</v>
      </c>
      <c r="J88" s="38">
        <f t="shared" si="51"/>
        <v>56.55809343699633</v>
      </c>
      <c r="K88" s="94">
        <f t="shared" si="52"/>
        <v>-11.753517122774484</v>
      </c>
      <c r="L88" s="94">
        <f t="shared" si="62"/>
        <v>-139.88779627045426</v>
      </c>
      <c r="M88" s="38">
        <f t="shared" si="53"/>
        <v>32.105523354682191</v>
      </c>
      <c r="N88" s="38">
        <f t="shared" si="54"/>
        <v>88.215103139383331</v>
      </c>
      <c r="O88" s="38">
        <f t="shared" si="55"/>
        <v>106998.57638849359</v>
      </c>
      <c r="P88" s="38">
        <f t="shared" si="56"/>
        <v>89.999464518300641</v>
      </c>
      <c r="Q88" s="38">
        <f t="shared" si="57"/>
        <v>4.7479122450511122</v>
      </c>
      <c r="R88" s="38">
        <f t="shared" si="58"/>
        <v>77.841376848898122</v>
      </c>
      <c r="S88" s="95">
        <f t="shared" si="59"/>
        <v>-11.166457433475278</v>
      </c>
      <c r="T88" s="95">
        <f t="shared" si="60"/>
        <v>-79.625738227815432</v>
      </c>
      <c r="U88" s="96">
        <f t="shared" si="61"/>
        <v>-22.919974556249763</v>
      </c>
      <c r="V88" s="96">
        <f t="shared" si="61"/>
        <v>-219.51353449826968</v>
      </c>
      <c r="W88" s="38">
        <f t="shared" si="63"/>
        <v>22.919974556249763</v>
      </c>
      <c r="X88" s="38">
        <f t="shared" si="64"/>
        <v>724435.96007498982</v>
      </c>
      <c r="Y88" s="38">
        <f t="shared" si="65"/>
        <v>-219.51353449826968</v>
      </c>
    </row>
    <row r="89" spans="1:25" x14ac:dyDescent="0.2">
      <c r="A89" s="38">
        <f t="shared" si="66"/>
        <v>82</v>
      </c>
      <c r="B89" s="38">
        <f t="shared" si="43"/>
        <v>831763.77110267174</v>
      </c>
      <c r="C89" s="38">
        <f t="shared" si="44"/>
        <v>5.0133052525167088</v>
      </c>
      <c r="D89" s="38">
        <f t="shared" si="45"/>
        <v>78.494078843231733</v>
      </c>
      <c r="E89" s="38">
        <f t="shared" si="46"/>
        <v>3.3604398588691984</v>
      </c>
      <c r="F89" s="38">
        <f t="shared" si="47"/>
        <v>-72.687684376816549</v>
      </c>
      <c r="G89" s="38">
        <f t="shared" si="48"/>
        <v>491.25685292840058</v>
      </c>
      <c r="H89" s="38">
        <f t="shared" si="49"/>
        <v>89.883368916401821</v>
      </c>
      <c r="I89" s="38">
        <f t="shared" si="50"/>
        <v>1.0735759394089617</v>
      </c>
      <c r="J89" s="38">
        <f t="shared" si="51"/>
        <v>66.491185316863223</v>
      </c>
      <c r="K89" s="94">
        <f t="shared" si="52"/>
        <v>-11.109443497317589</v>
      </c>
      <c r="L89" s="94">
        <f t="shared" si="62"/>
        <v>-150.56815976684987</v>
      </c>
      <c r="M89" s="38">
        <f t="shared" si="53"/>
        <v>36.857755797983401</v>
      </c>
      <c r="N89" s="38">
        <f t="shared" si="54"/>
        <v>88.445298420192842</v>
      </c>
      <c r="O89" s="38">
        <f t="shared" si="55"/>
        <v>122850.80297416463</v>
      </c>
      <c r="P89" s="38">
        <f t="shared" si="56"/>
        <v>89.999533614936766</v>
      </c>
      <c r="Q89" s="38">
        <f t="shared" si="57"/>
        <v>5.4220633341240339</v>
      </c>
      <c r="R89" s="38">
        <f t="shared" si="58"/>
        <v>79.372002770453577</v>
      </c>
      <c r="S89" s="95">
        <f t="shared" si="59"/>
        <v>-12.32071279991527</v>
      </c>
      <c r="T89" s="95">
        <f t="shared" si="60"/>
        <v>-80.926237965197501</v>
      </c>
      <c r="U89" s="96">
        <f t="shared" si="61"/>
        <v>-23.430156297232859</v>
      </c>
      <c r="V89" s="96">
        <f t="shared" si="61"/>
        <v>-231.49439773204739</v>
      </c>
      <c r="W89" s="38">
        <f t="shared" si="63"/>
        <v>23.430156297232859</v>
      </c>
      <c r="X89" s="38">
        <f t="shared" si="64"/>
        <v>831763.77110267174</v>
      </c>
      <c r="Y89" s="38">
        <f t="shared" si="65"/>
        <v>-231.49439773204739</v>
      </c>
    </row>
    <row r="90" spans="1:25" x14ac:dyDescent="0.2">
      <c r="A90" s="38">
        <f t="shared" si="66"/>
        <v>83</v>
      </c>
      <c r="B90" s="38">
        <f t="shared" si="43"/>
        <v>954992.58602143626</v>
      </c>
      <c r="C90" s="38">
        <f t="shared" si="44"/>
        <v>5.7283324348269842</v>
      </c>
      <c r="D90" s="38">
        <f t="shared" si="45"/>
        <v>79.946313395892872</v>
      </c>
      <c r="E90" s="38">
        <f t="shared" si="46"/>
        <v>3.8168352549451243</v>
      </c>
      <c r="F90" s="38">
        <f t="shared" si="47"/>
        <v>-74.811400338950619</v>
      </c>
      <c r="G90" s="38">
        <f t="shared" si="48"/>
        <v>564.03805265151084</v>
      </c>
      <c r="H90" s="38">
        <f t="shared" si="49"/>
        <v>89.89841853885585</v>
      </c>
      <c r="I90" s="38">
        <f t="shared" si="50"/>
        <v>1.1568378118995766</v>
      </c>
      <c r="J90" s="38">
        <f t="shared" si="51"/>
        <v>77.708595739345341</v>
      </c>
      <c r="K90" s="94">
        <f t="shared" si="52"/>
        <v>-10.694006218387504</v>
      </c>
      <c r="L90" s="94">
        <f t="shared" si="62"/>
        <v>-162.47210122125892</v>
      </c>
      <c r="M90" s="38">
        <f t="shared" si="53"/>
        <v>42.314605365273827</v>
      </c>
      <c r="N90" s="38">
        <f t="shared" si="54"/>
        <v>88.645831301151702</v>
      </c>
      <c r="O90" s="38">
        <f t="shared" si="55"/>
        <v>141051.59433745887</v>
      </c>
      <c r="P90" s="38">
        <f t="shared" si="56"/>
        <v>89.999593795591025</v>
      </c>
      <c r="Q90" s="38">
        <f t="shared" si="57"/>
        <v>6.1997476539640815</v>
      </c>
      <c r="R90" s="38">
        <f t="shared" si="58"/>
        <v>80.717819779559818</v>
      </c>
      <c r="S90" s="95">
        <f t="shared" si="59"/>
        <v>-13.485673202156732</v>
      </c>
      <c r="T90" s="95">
        <f t="shared" si="60"/>
        <v>-82.071582273999141</v>
      </c>
      <c r="U90" s="96">
        <f t="shared" si="61"/>
        <v>-24.179679420544236</v>
      </c>
      <c r="V90" s="96">
        <f t="shared" si="61"/>
        <v>-244.54368349525805</v>
      </c>
      <c r="W90" s="38">
        <f t="shared" si="63"/>
        <v>24.179679420544236</v>
      </c>
      <c r="X90" s="38">
        <f t="shared" si="64"/>
        <v>954992.58602143626</v>
      </c>
      <c r="Y90" s="38">
        <f t="shared" si="65"/>
        <v>-244.54368349525805</v>
      </c>
    </row>
    <row r="91" spans="1:25" x14ac:dyDescent="0.2">
      <c r="A91" s="38">
        <f t="shared" si="66"/>
        <v>84</v>
      </c>
      <c r="B91" s="38">
        <f t="shared" si="43"/>
        <v>1096478.1961431869</v>
      </c>
      <c r="C91" s="38">
        <f t="shared" si="44"/>
        <v>6.5527663105687202</v>
      </c>
      <c r="D91" s="38">
        <f t="shared" si="45"/>
        <v>81.221946003276003</v>
      </c>
      <c r="E91" s="38">
        <f t="shared" si="46"/>
        <v>4.3458500233077482</v>
      </c>
      <c r="F91" s="38">
        <f t="shared" si="47"/>
        <v>-76.696771038617086</v>
      </c>
      <c r="G91" s="38">
        <f t="shared" si="48"/>
        <v>647.60208709457072</v>
      </c>
      <c r="H91" s="38">
        <f t="shared" si="49"/>
        <v>89.911526223549203</v>
      </c>
      <c r="I91" s="38">
        <f t="shared" si="50"/>
        <v>1.2977970048254444</v>
      </c>
      <c r="J91" s="38">
        <f t="shared" si="51"/>
        <v>89.717756263936224</v>
      </c>
      <c r="K91" s="94">
        <f t="shared" si="52"/>
        <v>-10.597333044943557</v>
      </c>
      <c r="L91" s="94">
        <f t="shared" si="62"/>
        <v>-175.1041075228265</v>
      </c>
      <c r="M91" s="38">
        <f t="shared" si="53"/>
        <v>48.580391934936031</v>
      </c>
      <c r="N91" s="38">
        <f t="shared" si="54"/>
        <v>88.820515351538717</v>
      </c>
      <c r="O91" s="38">
        <f t="shared" si="55"/>
        <v>161948.89885548025</v>
      </c>
      <c r="P91" s="38">
        <f t="shared" si="56"/>
        <v>89.999646210749702</v>
      </c>
      <c r="Q91" s="38">
        <f t="shared" si="57"/>
        <v>7.0958725630047903</v>
      </c>
      <c r="R91" s="38">
        <f t="shared" si="58"/>
        <v>81.89850898509701</v>
      </c>
      <c r="S91" s="95">
        <f t="shared" si="59"/>
        <v>-14.658894701628711</v>
      </c>
      <c r="T91" s="95">
        <f t="shared" si="60"/>
        <v>-83.077639844307996</v>
      </c>
      <c r="U91" s="96">
        <f t="shared" si="61"/>
        <v>-25.256227746572268</v>
      </c>
      <c r="V91" s="96">
        <f t="shared" si="61"/>
        <v>-258.18174736713451</v>
      </c>
      <c r="W91" s="38">
        <f t="shared" si="63"/>
        <v>25.256227746572268</v>
      </c>
      <c r="X91" s="38">
        <f t="shared" si="64"/>
        <v>1096478.1961431869</v>
      </c>
      <c r="Y91" s="38">
        <f t="shared" si="65"/>
        <v>-258.18174736713451</v>
      </c>
    </row>
    <row r="92" spans="1:25" x14ac:dyDescent="0.2">
      <c r="A92" s="38">
        <f t="shared" si="66"/>
        <v>85</v>
      </c>
      <c r="B92" s="38">
        <f t="shared" si="43"/>
        <v>1258925.4117941684</v>
      </c>
      <c r="C92" s="38">
        <f t="shared" si="44"/>
        <v>7.502401944988434</v>
      </c>
      <c r="D92" s="38">
        <f t="shared" si="45"/>
        <v>82.340212184702906</v>
      </c>
      <c r="E92" s="38">
        <f t="shared" si="46"/>
        <v>4.9577095223465779</v>
      </c>
      <c r="F92" s="38">
        <f t="shared" si="47"/>
        <v>-78.363258107867935</v>
      </c>
      <c r="G92" s="38">
        <f t="shared" si="48"/>
        <v>743.54646757392538</v>
      </c>
      <c r="H92" s="38">
        <f t="shared" si="49"/>
        <v>89.922942547259296</v>
      </c>
      <c r="I92" s="38">
        <f t="shared" si="50"/>
        <v>1.5219230515945346</v>
      </c>
      <c r="J92" s="38">
        <f t="shared" si="51"/>
        <v>101.74623201871825</v>
      </c>
      <c r="K92" s="94">
        <f t="shared" si="52"/>
        <v>-10.861409282698132</v>
      </c>
      <c r="L92" s="94">
        <f t="shared" si="62"/>
        <v>-187.69222048914258</v>
      </c>
      <c r="M92" s="38">
        <f t="shared" si="53"/>
        <v>55.774899960549916</v>
      </c>
      <c r="N92" s="38">
        <f t="shared" si="54"/>
        <v>88.972676783238882</v>
      </c>
      <c r="O92" s="38">
        <f t="shared" si="55"/>
        <v>185942.21471749607</v>
      </c>
      <c r="P92" s="38">
        <f t="shared" si="56"/>
        <v>89.999691862444479</v>
      </c>
      <c r="Q92" s="38">
        <f t="shared" si="57"/>
        <v>8.1275965329470523</v>
      </c>
      <c r="R92" s="38">
        <f t="shared" si="58"/>
        <v>82.93255605459801</v>
      </c>
      <c r="S92" s="95">
        <f t="shared" si="59"/>
        <v>-15.838465569660329</v>
      </c>
      <c r="T92" s="95">
        <f t="shared" si="60"/>
        <v>-83.959571133803607</v>
      </c>
      <c r="U92" s="96">
        <f t="shared" si="61"/>
        <v>-26.699874852358462</v>
      </c>
      <c r="V92" s="96">
        <f t="shared" si="61"/>
        <v>-271.65179162294618</v>
      </c>
      <c r="W92" s="38">
        <f t="shared" si="63"/>
        <v>26.699874852358462</v>
      </c>
      <c r="X92" s="38">
        <f t="shared" si="64"/>
        <v>1258925.4117941684</v>
      </c>
      <c r="Y92" s="38">
        <f t="shared" si="65"/>
        <v>-271.65179162294618</v>
      </c>
    </row>
    <row r="93" spans="1:25" x14ac:dyDescent="0.2">
      <c r="A93" s="38">
        <f t="shared" si="66"/>
        <v>86</v>
      </c>
      <c r="B93" s="38">
        <f t="shared" si="43"/>
        <v>1445439.7707459307</v>
      </c>
      <c r="C93" s="38">
        <f t="shared" si="44"/>
        <v>8.5954166922385049</v>
      </c>
      <c r="D93" s="38">
        <f t="shared" si="45"/>
        <v>83.319017879128637</v>
      </c>
      <c r="E93" s="38">
        <f t="shared" si="46"/>
        <v>5.6641877030748251</v>
      </c>
      <c r="F93" s="38">
        <f t="shared" si="47"/>
        <v>-79.831255646026975</v>
      </c>
      <c r="G93" s="38">
        <f t="shared" si="48"/>
        <v>853.70538309894891</v>
      </c>
      <c r="H93" s="38">
        <f t="shared" si="49"/>
        <v>89.932885754558981</v>
      </c>
      <c r="I93" s="38">
        <f t="shared" si="50"/>
        <v>1.8587487430676919</v>
      </c>
      <c r="J93" s="38">
        <f t="shared" si="51"/>
        <v>113.01406604022897</v>
      </c>
      <c r="K93" s="94">
        <f t="shared" si="52"/>
        <v>-11.459503904036881</v>
      </c>
      <c r="L93" s="94">
        <f t="shared" si="62"/>
        <v>-199.45918956168629</v>
      </c>
      <c r="M93" s="38">
        <f t="shared" si="53"/>
        <v>64.035668430712846</v>
      </c>
      <c r="N93" s="38">
        <f t="shared" si="54"/>
        <v>89.105215734486322</v>
      </c>
      <c r="O93" s="38">
        <f t="shared" si="55"/>
        <v>213490.22721629901</v>
      </c>
      <c r="P93" s="38">
        <f t="shared" si="56"/>
        <v>89.999731623408437</v>
      </c>
      <c r="Q93" s="38">
        <f t="shared" si="57"/>
        <v>9.3146613858209868</v>
      </c>
      <c r="R93" s="38">
        <f t="shared" si="58"/>
        <v>83.83698302245061</v>
      </c>
      <c r="S93" s="95">
        <f t="shared" si="59"/>
        <v>-17.022901330896257</v>
      </c>
      <c r="T93" s="95">
        <f t="shared" si="60"/>
        <v>-84.731498911372725</v>
      </c>
      <c r="U93" s="96">
        <f t="shared" si="61"/>
        <v>-28.48240523493314</v>
      </c>
      <c r="V93" s="96">
        <f t="shared" si="61"/>
        <v>-284.19068847305903</v>
      </c>
      <c r="W93" s="38">
        <f t="shared" si="63"/>
        <v>28.48240523493314</v>
      </c>
      <c r="X93" s="38">
        <f t="shared" si="64"/>
        <v>1445439.7707459307</v>
      </c>
      <c r="Y93" s="38">
        <f t="shared" si="65"/>
        <v>-284.19068847305903</v>
      </c>
    </row>
    <row r="94" spans="1:25" x14ac:dyDescent="0.2">
      <c r="A94" s="38">
        <f t="shared" si="66"/>
        <v>87</v>
      </c>
      <c r="B94" s="38">
        <f t="shared" si="43"/>
        <v>1659586.9074375604</v>
      </c>
      <c r="C94" s="38">
        <f t="shared" si="44"/>
        <v>9.8527213166839758</v>
      </c>
      <c r="D94" s="38">
        <f t="shared" si="45"/>
        <v>84.174745672505665</v>
      </c>
      <c r="E94" s="38">
        <f t="shared" si="46"/>
        <v>6.4788427707954339</v>
      </c>
      <c r="F94" s="38">
        <f t="shared" si="47"/>
        <v>-81.120983632716275</v>
      </c>
      <c r="G94" s="38">
        <f t="shared" si="48"/>
        <v>980.18476495117397</v>
      </c>
      <c r="H94" s="38">
        <f t="shared" si="49"/>
        <v>89.941545929399098</v>
      </c>
      <c r="I94" s="38">
        <f t="shared" si="50"/>
        <v>2.3424570407212695</v>
      </c>
      <c r="J94" s="38">
        <f t="shared" si="51"/>
        <v>123.01249879657347</v>
      </c>
      <c r="K94" s="94">
        <f t="shared" si="52"/>
        <v>-12.315540061145056</v>
      </c>
      <c r="L94" s="94">
        <f t="shared" si="62"/>
        <v>-209.90028268618317</v>
      </c>
      <c r="M94" s="38">
        <f t="shared" si="53"/>
        <v>73.520620240946243</v>
      </c>
      <c r="N94" s="38">
        <f t="shared" si="54"/>
        <v>89.220660188492303</v>
      </c>
      <c r="O94" s="38">
        <f t="shared" si="55"/>
        <v>245119.57753193632</v>
      </c>
      <c r="P94" s="38">
        <f t="shared" si="56"/>
        <v>89.999766253760356</v>
      </c>
      <c r="Q94" s="38">
        <f t="shared" si="57"/>
        <v>10.679772605298092</v>
      </c>
      <c r="R94" s="38">
        <f t="shared" si="58"/>
        <v>84.627241872298683</v>
      </c>
      <c r="S94" s="95">
        <f t="shared" si="59"/>
        <v>-18.211055712149243</v>
      </c>
      <c r="T94" s="95">
        <f t="shared" si="60"/>
        <v>-85.406347937566736</v>
      </c>
      <c r="U94" s="96">
        <f t="shared" si="61"/>
        <v>-30.526595773294297</v>
      </c>
      <c r="V94" s="96">
        <f t="shared" si="61"/>
        <v>-295.30663062374992</v>
      </c>
      <c r="W94" s="38">
        <f t="shared" si="63"/>
        <v>30.526595773294297</v>
      </c>
      <c r="X94" s="38">
        <f t="shared" si="64"/>
        <v>1659586.9074375604</v>
      </c>
      <c r="Y94" s="38">
        <f t="shared" si="65"/>
        <v>-295.30663062374992</v>
      </c>
    </row>
    <row r="95" spans="1:25" x14ac:dyDescent="0.2">
      <c r="A95" s="38">
        <f t="shared" si="66"/>
        <v>88</v>
      </c>
      <c r="B95" s="38">
        <f t="shared" si="43"/>
        <v>1905460.7179632459</v>
      </c>
      <c r="C95" s="38">
        <f t="shared" si="44"/>
        <v>11.29836223102175</v>
      </c>
      <c r="D95" s="38">
        <f t="shared" si="45"/>
        <v>84.922197574694081</v>
      </c>
      <c r="E95" s="38">
        <f t="shared" si="46"/>
        <v>7.4172840025815399</v>
      </c>
      <c r="F95" s="38">
        <f t="shared" si="47"/>
        <v>-82.251774702189934</v>
      </c>
      <c r="G95" s="38">
        <f t="shared" si="48"/>
        <v>1125.4025462179245</v>
      </c>
      <c r="H95" s="38">
        <f t="shared" si="49"/>
        <v>89.949088628557519</v>
      </c>
      <c r="I95" s="38">
        <f t="shared" si="50"/>
        <v>3.0147790521848412</v>
      </c>
      <c r="J95" s="38">
        <f t="shared" si="51"/>
        <v>131.57596845588006</v>
      </c>
      <c r="K95" s="94">
        <f t="shared" si="52"/>
        <v>-13.343080792218187</v>
      </c>
      <c r="L95" s="94">
        <f t="shared" si="62"/>
        <v>-218.85463421193344</v>
      </c>
      <c r="M95" s="38">
        <f t="shared" si="53"/>
        <v>84.411081245681586</v>
      </c>
      <c r="N95" s="38">
        <f t="shared" si="54"/>
        <v>89.321213293788574</v>
      </c>
      <c r="O95" s="38">
        <f t="shared" si="55"/>
        <v>281434.93064251303</v>
      </c>
      <c r="P95" s="38">
        <f t="shared" si="56"/>
        <v>89.999796415535982</v>
      </c>
      <c r="Q95" s="38">
        <f t="shared" si="57"/>
        <v>12.249035381355922</v>
      </c>
      <c r="R95" s="38">
        <f t="shared" si="58"/>
        <v>85.317213571475108</v>
      </c>
      <c r="S95" s="95">
        <f t="shared" si="59"/>
        <v>-19.402047357532805</v>
      </c>
      <c r="T95" s="95">
        <f t="shared" si="60"/>
        <v>-85.995796693222516</v>
      </c>
      <c r="U95" s="96">
        <f t="shared" si="61"/>
        <v>-32.74512814975099</v>
      </c>
      <c r="V95" s="96">
        <f t="shared" si="61"/>
        <v>-304.85043090515597</v>
      </c>
      <c r="W95" s="38">
        <f t="shared" si="63"/>
        <v>32.74512814975099</v>
      </c>
      <c r="X95" s="38">
        <f t="shared" si="64"/>
        <v>1905460.7179632459</v>
      </c>
      <c r="Y95" s="38">
        <f t="shared" si="65"/>
        <v>-304.85043090515597</v>
      </c>
    </row>
    <row r="96" spans="1:25" x14ac:dyDescent="0.2">
      <c r="A96" s="38">
        <f t="shared" si="66"/>
        <v>89</v>
      </c>
      <c r="B96" s="38">
        <f t="shared" si="43"/>
        <v>2187761.6239495538</v>
      </c>
      <c r="C96" s="38">
        <f t="shared" si="44"/>
        <v>12.959982883624525</v>
      </c>
      <c r="D96" s="38">
        <f t="shared" si="45"/>
        <v>85.57462482089376</v>
      </c>
      <c r="E96" s="38">
        <f t="shared" si="46"/>
        <v>8.497475532123099</v>
      </c>
      <c r="F96" s="38">
        <f t="shared" si="47"/>
        <v>-83.241656409963497</v>
      </c>
      <c r="G96" s="38">
        <f t="shared" si="48"/>
        <v>1292.1348859304153</v>
      </c>
      <c r="H96" s="38">
        <f t="shared" si="49"/>
        <v>89.955658046341426</v>
      </c>
      <c r="I96" s="38">
        <f t="shared" si="50"/>
        <v>3.9294730153790924</v>
      </c>
      <c r="J96" s="38">
        <f t="shared" si="51"/>
        <v>138.77845518337526</v>
      </c>
      <c r="K96" s="94">
        <f t="shared" si="52"/>
        <v>-14.471977434972176</v>
      </c>
      <c r="L96" s="94">
        <f t="shared" si="62"/>
        <v>-226.40114481878641</v>
      </c>
      <c r="M96" s="38">
        <f t="shared" si="53"/>
        <v>96.915246707321757</v>
      </c>
      <c r="N96" s="38">
        <f t="shared" si="54"/>
        <v>89.408794816138737</v>
      </c>
      <c r="O96" s="38">
        <f t="shared" si="55"/>
        <v>323130.53483243327</v>
      </c>
      <c r="P96" s="38">
        <f t="shared" si="56"/>
        <v>89.999822685344355</v>
      </c>
      <c r="Q96" s="38">
        <f t="shared" si="57"/>
        <v>14.052455007916231</v>
      </c>
      <c r="R96" s="38">
        <f t="shared" si="58"/>
        <v>85.919271909323001</v>
      </c>
      <c r="S96" s="95">
        <f t="shared" si="59"/>
        <v>-20.595200798364296</v>
      </c>
      <c r="T96" s="95">
        <f t="shared" si="60"/>
        <v>-86.510299778528619</v>
      </c>
      <c r="U96" s="96">
        <f t="shared" si="61"/>
        <v>-35.06717823333647</v>
      </c>
      <c r="V96" s="96">
        <f t="shared" si="61"/>
        <v>-312.91144459731504</v>
      </c>
      <c r="W96" s="38">
        <f t="shared" si="63"/>
        <v>35.06717823333647</v>
      </c>
      <c r="X96" s="38">
        <f t="shared" si="64"/>
        <v>2187761.6239495538</v>
      </c>
      <c r="Y96" s="38">
        <f t="shared" si="65"/>
        <v>-312.91144459731504</v>
      </c>
    </row>
    <row r="97" spans="1:25" x14ac:dyDescent="0.2">
      <c r="A97" s="38">
        <f t="shared" si="66"/>
        <v>90</v>
      </c>
      <c r="B97" s="38">
        <f t="shared" si="43"/>
        <v>2511886.43150958</v>
      </c>
      <c r="C97" s="38">
        <f t="shared" si="44"/>
        <v>14.869353362787418</v>
      </c>
      <c r="D97" s="38">
        <f t="shared" si="45"/>
        <v>86.143809575574025</v>
      </c>
      <c r="E97" s="38">
        <f t="shared" si="46"/>
        <v>9.7400835098002396</v>
      </c>
      <c r="F97" s="38">
        <f t="shared" si="47"/>
        <v>-84.107143188147063</v>
      </c>
      <c r="G97" s="38">
        <f t="shared" si="48"/>
        <v>1483.5692414829768</v>
      </c>
      <c r="H97" s="38">
        <f t="shared" si="49"/>
        <v>89.961379770994398</v>
      </c>
      <c r="I97" s="38">
        <f t="shared" si="50"/>
        <v>5.1576356598206763</v>
      </c>
      <c r="J97" s="38">
        <f t="shared" si="51"/>
        <v>144.79976567811141</v>
      </c>
      <c r="K97" s="94">
        <f t="shared" si="52"/>
        <v>-15.65509554832733</v>
      </c>
      <c r="L97" s="94">
        <f t="shared" si="62"/>
        <v>-232.72447906167884</v>
      </c>
      <c r="M97" s="38">
        <f t="shared" si="53"/>
        <v>111.27216141197835</v>
      </c>
      <c r="N97" s="38">
        <f t="shared" si="54"/>
        <v>89.48507739878815</v>
      </c>
      <c r="O97" s="38">
        <f t="shared" si="55"/>
        <v>371003.49378365377</v>
      </c>
      <c r="P97" s="38">
        <f t="shared" si="56"/>
        <v>89.99984556539097</v>
      </c>
      <c r="Q97" s="38">
        <f t="shared" si="57"/>
        <v>16.124511401373397</v>
      </c>
      <c r="R97" s="38">
        <f t="shared" si="58"/>
        <v>86.444383964128946</v>
      </c>
      <c r="S97" s="95">
        <f t="shared" si="59"/>
        <v>-21.789999633149311</v>
      </c>
      <c r="T97" s="95">
        <f t="shared" si="60"/>
        <v>-86.959152130731766</v>
      </c>
      <c r="U97" s="96">
        <f t="shared" si="61"/>
        <v>-37.445095181476638</v>
      </c>
      <c r="V97" s="96">
        <f t="shared" si="61"/>
        <v>-319.68363119241059</v>
      </c>
      <c r="W97" s="38">
        <f t="shared" si="63"/>
        <v>37.445095181476638</v>
      </c>
      <c r="X97" s="38">
        <f t="shared" si="64"/>
        <v>2511886.43150958</v>
      </c>
      <c r="Y97" s="38">
        <f t="shared" si="65"/>
        <v>-319.68363119241059</v>
      </c>
    </row>
    <row r="98" spans="1:25" x14ac:dyDescent="0.2">
      <c r="A98" s="38">
        <f t="shared" si="66"/>
        <v>91</v>
      </c>
      <c r="B98" s="38">
        <f t="shared" si="43"/>
        <v>2884031.5031266091</v>
      </c>
      <c r="C98" s="38">
        <f t="shared" si="44"/>
        <v>17.062978516756115</v>
      </c>
      <c r="D98" s="38">
        <f t="shared" si="45"/>
        <v>86.640174554635053</v>
      </c>
      <c r="E98" s="38">
        <f t="shared" si="46"/>
        <v>11.168873745504667</v>
      </c>
      <c r="F98" s="38">
        <f t="shared" si="47"/>
        <v>-84.863169769423962</v>
      </c>
      <c r="G98" s="38">
        <f t="shared" si="48"/>
        <v>1703.365303930078</v>
      </c>
      <c r="H98" s="38">
        <f t="shared" si="49"/>
        <v>89.966363185470499</v>
      </c>
      <c r="I98" s="38">
        <f t="shared" si="50"/>
        <v>6.7938863923076696</v>
      </c>
      <c r="J98" s="38">
        <f t="shared" si="51"/>
        <v>149.83851500534072</v>
      </c>
      <c r="K98" s="94">
        <f t="shared" si="52"/>
        <v>-16.864258223881244</v>
      </c>
      <c r="L98" s="94">
        <f t="shared" si="62"/>
        <v>-238.02787340560013</v>
      </c>
      <c r="M98" s="38">
        <f t="shared" si="53"/>
        <v>127.75628954110064</v>
      </c>
      <c r="N98" s="38">
        <f t="shared" si="54"/>
        <v>89.551518247722782</v>
      </c>
      <c r="O98" s="38">
        <f t="shared" si="55"/>
        <v>425969.0049753252</v>
      </c>
      <c r="P98" s="38">
        <f t="shared" si="56"/>
        <v>89.999865493078502</v>
      </c>
      <c r="Q98" s="38">
        <f t="shared" si="57"/>
        <v>18.504818863958786</v>
      </c>
      <c r="R98" s="38">
        <f t="shared" si="58"/>
        <v>86.902228352517739</v>
      </c>
      <c r="S98" s="95">
        <f t="shared" si="59"/>
        <v>-22.986049808269019</v>
      </c>
      <c r="T98" s="95">
        <f t="shared" si="60"/>
        <v>-87.350575597873458</v>
      </c>
      <c r="U98" s="96">
        <f t="shared" si="61"/>
        <v>-39.850308032150267</v>
      </c>
      <c r="V98" s="96">
        <f t="shared" si="61"/>
        <v>-325.37844900347358</v>
      </c>
      <c r="W98" s="38">
        <f t="shared" si="63"/>
        <v>39.850308032150267</v>
      </c>
      <c r="X98" s="38">
        <f t="shared" si="64"/>
        <v>2884031.5031266091</v>
      </c>
      <c r="Y98" s="38">
        <f t="shared" si="65"/>
        <v>-325.37844900347358</v>
      </c>
    </row>
    <row r="99" spans="1:25" x14ac:dyDescent="0.2">
      <c r="A99" s="38">
        <f t="shared" si="66"/>
        <v>92</v>
      </c>
      <c r="B99" s="38">
        <f t="shared" si="43"/>
        <v>3311311.2148259124</v>
      </c>
      <c r="C99" s="38">
        <f t="shared" si="44"/>
        <v>19.582796335988569</v>
      </c>
      <c r="D99" s="38">
        <f t="shared" si="45"/>
        <v>87.072904753113889</v>
      </c>
      <c r="E99" s="38">
        <f t="shared" si="46"/>
        <v>12.811167787858667</v>
      </c>
      <c r="F99" s="38">
        <f t="shared" si="47"/>
        <v>-85.523115200846547</v>
      </c>
      <c r="G99" s="38">
        <f t="shared" si="48"/>
        <v>1955.7249610740446</v>
      </c>
      <c r="H99" s="38">
        <f t="shared" si="49"/>
        <v>89.970703558450126</v>
      </c>
      <c r="I99" s="38">
        <f t="shared" si="50"/>
        <v>8.9639884362475613</v>
      </c>
      <c r="J99" s="38">
        <f t="shared" si="51"/>
        <v>154.07334749823076</v>
      </c>
      <c r="K99" s="94">
        <f t="shared" si="52"/>
        <v>-18.083933993210252</v>
      </c>
      <c r="L99" s="94">
        <f t="shared" si="62"/>
        <v>-242.49426150441354</v>
      </c>
      <c r="M99" s="38">
        <f t="shared" si="53"/>
        <v>146.68276166252605</v>
      </c>
      <c r="N99" s="38">
        <f t="shared" si="54"/>
        <v>89.609386797061518</v>
      </c>
      <c r="O99" s="38">
        <f t="shared" si="55"/>
        <v>489077.85570751765</v>
      </c>
      <c r="P99" s="38">
        <f t="shared" si="56"/>
        <v>89.999882849368788</v>
      </c>
      <c r="Q99" s="38">
        <f t="shared" si="57"/>
        <v>21.238883801649813</v>
      </c>
      <c r="R99" s="38">
        <f t="shared" si="58"/>
        <v>87.301319100950451</v>
      </c>
      <c r="S99" s="95">
        <f t="shared" si="59"/>
        <v>-24.183051058908514</v>
      </c>
      <c r="T99" s="95">
        <f t="shared" si="60"/>
        <v>-87.691815153257721</v>
      </c>
      <c r="U99" s="96">
        <f t="shared" si="61"/>
        <v>-42.26698505211877</v>
      </c>
      <c r="V99" s="96">
        <f t="shared" si="61"/>
        <v>-330.18607665767126</v>
      </c>
      <c r="W99" s="38">
        <f t="shared" si="63"/>
        <v>42.26698505211877</v>
      </c>
      <c r="X99" s="38">
        <f t="shared" si="64"/>
        <v>3311311.2148259124</v>
      </c>
      <c r="Y99" s="38">
        <f t="shared" si="65"/>
        <v>-330.18607665767126</v>
      </c>
    </row>
    <row r="100" spans="1:25" x14ac:dyDescent="0.2">
      <c r="A100" s="38">
        <f t="shared" si="66"/>
        <v>93</v>
      </c>
      <c r="B100" s="38">
        <f t="shared" si="43"/>
        <v>3801893.9632056188</v>
      </c>
      <c r="C100" s="38">
        <f t="shared" si="44"/>
        <v>22.476980031598835</v>
      </c>
      <c r="D100" s="38">
        <f t="shared" si="45"/>
        <v>87.450071239422144</v>
      </c>
      <c r="E100" s="38">
        <f t="shared" si="46"/>
        <v>14.698366413168992</v>
      </c>
      <c r="F100" s="38">
        <f t="shared" si="47"/>
        <v>-86.098881240246655</v>
      </c>
      <c r="G100" s="38">
        <f t="shared" si="48"/>
        <v>2245.472625842704</v>
      </c>
      <c r="H100" s="38">
        <f t="shared" si="49"/>
        <v>89.974483865557943</v>
      </c>
      <c r="I100" s="38">
        <f t="shared" si="50"/>
        <v>11.834658561585471</v>
      </c>
      <c r="J100" s="38">
        <f t="shared" si="51"/>
        <v>157.65210319724426</v>
      </c>
      <c r="K100" s="94">
        <f t="shared" si="52"/>
        <v>-19.306150561621831</v>
      </c>
      <c r="L100" s="94">
        <f t="shared" si="62"/>
        <v>-246.27539706362671</v>
      </c>
      <c r="M100" s="38">
        <f t="shared" si="53"/>
        <v>168.41339914901437</v>
      </c>
      <c r="N100" s="38">
        <f t="shared" si="54"/>
        <v>89.659788850005143</v>
      </c>
      <c r="O100" s="38">
        <f t="shared" si="55"/>
        <v>561536.51122423366</v>
      </c>
      <c r="P100" s="38">
        <f t="shared" si="56"/>
        <v>89.999897966065674</v>
      </c>
      <c r="Q100" s="38">
        <f t="shared" si="57"/>
        <v>24.378974948075335</v>
      </c>
      <c r="R100" s="38">
        <f t="shared" si="58"/>
        <v>87.649127618214706</v>
      </c>
      <c r="S100" s="95">
        <f t="shared" si="59"/>
        <v>-25.380774833757336</v>
      </c>
      <c r="T100" s="95">
        <f t="shared" si="60"/>
        <v>-87.989236734275238</v>
      </c>
      <c r="U100" s="96">
        <f t="shared" si="61"/>
        <v>-44.686925395379163</v>
      </c>
      <c r="V100" s="96">
        <f t="shared" si="61"/>
        <v>-334.26463379790198</v>
      </c>
      <c r="W100" s="38">
        <f t="shared" si="63"/>
        <v>44.686925395379163</v>
      </c>
      <c r="X100" s="38">
        <f t="shared" si="64"/>
        <v>3801893.9632056188</v>
      </c>
      <c r="Y100" s="38">
        <f t="shared" si="65"/>
        <v>-334.26463379790198</v>
      </c>
    </row>
    <row r="101" spans="1:25" x14ac:dyDescent="0.2">
      <c r="A101" s="38">
        <f t="shared" si="66"/>
        <v>94</v>
      </c>
      <c r="B101" s="38">
        <f t="shared" si="43"/>
        <v>4365158.3224016652</v>
      </c>
      <c r="C101" s="38">
        <f t="shared" si="44"/>
        <v>25.800859199721739</v>
      </c>
      <c r="D101" s="38">
        <f t="shared" si="45"/>
        <v>87.778750937801661</v>
      </c>
      <c r="E101" s="38">
        <f t="shared" si="46"/>
        <v>16.866550711413229</v>
      </c>
      <c r="F101" s="38">
        <f t="shared" si="47"/>
        <v>-86.601000335491406</v>
      </c>
      <c r="G101" s="38">
        <f t="shared" si="48"/>
        <v>2578.1474656114337</v>
      </c>
      <c r="H101" s="38">
        <f t="shared" si="49"/>
        <v>89.977776375589841</v>
      </c>
      <c r="I101" s="38">
        <f t="shared" si="50"/>
        <v>15.626430272942562</v>
      </c>
      <c r="J101" s="38">
        <f t="shared" si="51"/>
        <v>160.69300645936056</v>
      </c>
      <c r="K101" s="94">
        <f t="shared" si="52"/>
        <v>-20.527162952060237</v>
      </c>
      <c r="L101" s="94">
        <f t="shared" si="62"/>
        <v>-249.49303223264013</v>
      </c>
      <c r="M101" s="38">
        <f t="shared" si="53"/>
        <v>193.36363119448669</v>
      </c>
      <c r="N101" s="38">
        <f t="shared" si="54"/>
        <v>89.703687634728695</v>
      </c>
      <c r="O101" s="38">
        <f t="shared" si="55"/>
        <v>644730.17896458169</v>
      </c>
      <c r="P101" s="38">
        <f t="shared" si="56"/>
        <v>89.99991113215826</v>
      </c>
      <c r="Q101" s="38">
        <f t="shared" si="57"/>
        <v>27.985122775293004</v>
      </c>
      <c r="R101" s="38">
        <f t="shared" si="58"/>
        <v>87.952198381846287</v>
      </c>
      <c r="S101" s="95">
        <f t="shared" si="59"/>
        <v>-26.57904731020491</v>
      </c>
      <c r="T101" s="95">
        <f t="shared" si="60"/>
        <v>-88.248421879275853</v>
      </c>
      <c r="U101" s="96">
        <f t="shared" si="61"/>
        <v>-47.106210262265151</v>
      </c>
      <c r="V101" s="96">
        <f t="shared" si="61"/>
        <v>-337.74145411191597</v>
      </c>
      <c r="W101" s="38">
        <f t="shared" si="63"/>
        <v>47.106210262265151</v>
      </c>
      <c r="X101" s="38">
        <f t="shared" si="64"/>
        <v>4365158.3224016652</v>
      </c>
      <c r="Y101" s="38">
        <f t="shared" si="65"/>
        <v>-337.74145411191597</v>
      </c>
    </row>
    <row r="102" spans="1:25" x14ac:dyDescent="0.2">
      <c r="A102" s="38">
        <f t="shared" si="66"/>
        <v>95</v>
      </c>
      <c r="B102" s="38">
        <f t="shared" si="43"/>
        <v>5011872.3362727351</v>
      </c>
      <c r="C102" s="38">
        <f t="shared" si="44"/>
        <v>29.617977719820196</v>
      </c>
      <c r="D102" s="38">
        <f t="shared" si="45"/>
        <v>88.065138969011059</v>
      </c>
      <c r="E102" s="38">
        <f t="shared" si="46"/>
        <v>19.357172385084446</v>
      </c>
      <c r="F102" s="38">
        <f t="shared" si="47"/>
        <v>-87.038756787467065</v>
      </c>
      <c r="G102" s="38">
        <f t="shared" si="48"/>
        <v>2960.1092956371822</v>
      </c>
      <c r="H102" s="38">
        <f t="shared" si="49"/>
        <v>89.980644032067545</v>
      </c>
      <c r="I102" s="38">
        <f t="shared" si="50"/>
        <v>20.630614477136042</v>
      </c>
      <c r="J102" s="38">
        <f t="shared" si="51"/>
        <v>163.28961725241243</v>
      </c>
      <c r="K102" s="94">
        <f t="shared" si="52"/>
        <v>-21.745473003752558</v>
      </c>
      <c r="L102" s="94">
        <f t="shared" si="62"/>
        <v>-252.24387910293598</v>
      </c>
      <c r="M102" s="38">
        <f t="shared" si="53"/>
        <v>222.01043666213494</v>
      </c>
      <c r="N102" s="38">
        <f t="shared" si="54"/>
        <v>89.741922163126006</v>
      </c>
      <c r="O102" s="38">
        <f t="shared" si="55"/>
        <v>740249.28986630368</v>
      </c>
      <c r="P102" s="38">
        <f t="shared" si="56"/>
        <v>89.999922599345524</v>
      </c>
      <c r="Q102" s="38">
        <f t="shared" si="57"/>
        <v>32.126267227386514</v>
      </c>
      <c r="R102" s="38">
        <f t="shared" si="58"/>
        <v>88.216256016667529</v>
      </c>
      <c r="S102" s="95">
        <f t="shared" si="59"/>
        <v>-27.777736371450771</v>
      </c>
      <c r="T102" s="95">
        <f t="shared" si="60"/>
        <v>-88.474256452887047</v>
      </c>
      <c r="U102" s="96">
        <f t="shared" si="61"/>
        <v>-49.523209375203329</v>
      </c>
      <c r="V102" s="96">
        <f t="shared" si="61"/>
        <v>-340.71813555582304</v>
      </c>
      <c r="W102" s="38">
        <f t="shared" si="63"/>
        <v>49.523209375203329</v>
      </c>
      <c r="X102" s="38">
        <f t="shared" si="64"/>
        <v>5011872.3362727351</v>
      </c>
      <c r="Y102" s="38">
        <f t="shared" si="65"/>
        <v>-340.71813555582304</v>
      </c>
    </row>
    <row r="103" spans="1:25" x14ac:dyDescent="0.2">
      <c r="A103" s="38">
        <f t="shared" si="66"/>
        <v>96</v>
      </c>
      <c r="B103" s="38">
        <f>Fmn*10^(LOG(Fmx/Fmn)*1/N*A103)</f>
        <v>5754399.3733715694</v>
      </c>
      <c r="C103" s="38">
        <f>SQRT(1+(B103/Fzesr)^2)</f>
        <v>34.001308636449203</v>
      </c>
      <c r="D103" s="38">
        <f t="shared" si="45"/>
        <v>88.31465184637662</v>
      </c>
      <c r="E103" s="38">
        <f t="shared" si="46"/>
        <v>22.21784654301818</v>
      </c>
      <c r="F103" s="38">
        <f t="shared" si="47"/>
        <v>-87.420310649751045</v>
      </c>
      <c r="G103" s="38">
        <f t="shared" si="48"/>
        <v>3398.6601609914974</v>
      </c>
      <c r="H103" s="38">
        <f t="shared" si="49"/>
        <v>89.98314165652765</v>
      </c>
      <c r="I103" s="38">
        <f t="shared" si="50"/>
        <v>27.231684880272908</v>
      </c>
      <c r="J103" s="38">
        <f t="shared" si="51"/>
        <v>165.51611722357407</v>
      </c>
      <c r="K103" s="94">
        <f t="shared" si="52"/>
        <v>-22.960714362230526</v>
      </c>
      <c r="L103" s="94">
        <f t="shared" si="62"/>
        <v>-254.60491768347615</v>
      </c>
      <c r="M103" s="38">
        <f t="shared" si="53"/>
        <v>254.90146259044494</v>
      </c>
      <c r="N103" s="38">
        <f t="shared" si="54"/>
        <v>89.775223233710932</v>
      </c>
      <c r="O103" s="38">
        <f t="shared" si="55"/>
        <v>849919.90297030308</v>
      </c>
      <c r="P103" s="38">
        <f t="shared" si="56"/>
        <v>89.999932586848118</v>
      </c>
      <c r="Q103" s="38">
        <f t="shared" si="57"/>
        <v>36.881575738430044</v>
      </c>
      <c r="R103" s="38">
        <f t="shared" si="58"/>
        <v>88.4463027694147</v>
      </c>
      <c r="S103" s="95">
        <f t="shared" si="59"/>
        <v>-28.976741647402157</v>
      </c>
      <c r="T103" s="95">
        <f t="shared" si="60"/>
        <v>-88.671012122551886</v>
      </c>
      <c r="U103" s="96">
        <f t="shared" si="61"/>
        <v>-51.937456009632683</v>
      </c>
      <c r="V103" s="96">
        <f t="shared" si="61"/>
        <v>-343.27592980602805</v>
      </c>
      <c r="W103" s="38">
        <f t="shared" si="63"/>
        <v>51.937456009632683</v>
      </c>
      <c r="X103" s="38">
        <f t="shared" si="64"/>
        <v>5754399.3733715694</v>
      </c>
      <c r="Y103" s="38">
        <f t="shared" si="65"/>
        <v>-343.27592980602805</v>
      </c>
    </row>
    <row r="104" spans="1:25" x14ac:dyDescent="0.2">
      <c r="A104" s="38">
        <f t="shared" si="66"/>
        <v>97</v>
      </c>
      <c r="B104" s="38">
        <f>Fmn*10^(LOG(Fmx/Fmn)*1/N*A104)</f>
        <v>6606934.4800759563</v>
      </c>
      <c r="C104" s="38">
        <f>SQRT(1+(B104/Fzesr)^2)</f>
        <v>39.034649266642461</v>
      </c>
      <c r="D104" s="38">
        <f t="shared" si="45"/>
        <v>88.532020919829236</v>
      </c>
      <c r="E104" s="38">
        <f t="shared" si="46"/>
        <v>25.503262203324546</v>
      </c>
      <c r="F104" s="38">
        <f t="shared" si="47"/>
        <v>-87.752818010346644</v>
      </c>
      <c r="G104" s="38">
        <f t="shared" si="48"/>
        <v>3902.1839313002542</v>
      </c>
      <c r="H104" s="38">
        <f t="shared" si="49"/>
        <v>89.985316996546317</v>
      </c>
      <c r="I104" s="38">
        <f t="shared" si="50"/>
        <v>35.936817498922629</v>
      </c>
      <c r="J104" s="38">
        <f t="shared" si="51"/>
        <v>167.43180352532329</v>
      </c>
      <c r="K104" s="94">
        <f t="shared" si="52"/>
        <v>-24.173047851477154</v>
      </c>
      <c r="L104" s="94">
        <f t="shared" si="62"/>
        <v>-256.63791761238701</v>
      </c>
      <c r="M104" s="38">
        <f t="shared" si="53"/>
        <v>292.66549367759558</v>
      </c>
      <c r="N104" s="38">
        <f t="shared" si="54"/>
        <v>89.804227378220261</v>
      </c>
      <c r="O104" s="38">
        <f t="shared" si="55"/>
        <v>975838.61457746907</v>
      </c>
      <c r="P104" s="38">
        <f t="shared" si="56"/>
        <v>89.99994128559922</v>
      </c>
      <c r="Q104" s="38">
        <f t="shared" si="57"/>
        <v>42.341956745051107</v>
      </c>
      <c r="R104" s="38">
        <f t="shared" si="58"/>
        <v>88.646706208137729</v>
      </c>
      <c r="S104" s="95">
        <f t="shared" si="59"/>
        <v>-30.175986913546573</v>
      </c>
      <c r="T104" s="95">
        <f t="shared" si="60"/>
        <v>-88.842420115516688</v>
      </c>
      <c r="U104" s="96">
        <f t="shared" si="61"/>
        <v>-54.349034765023731</v>
      </c>
      <c r="V104" s="96">
        <f t="shared" si="61"/>
        <v>-345.4803377279037</v>
      </c>
      <c r="W104" s="38">
        <f t="shared" si="63"/>
        <v>54.349034765023731</v>
      </c>
      <c r="X104" s="38">
        <f t="shared" si="64"/>
        <v>6606934.4800759563</v>
      </c>
      <c r="Y104" s="38">
        <f t="shared" si="65"/>
        <v>-345.4803377279037</v>
      </c>
    </row>
    <row r="105" spans="1:25" x14ac:dyDescent="0.2">
      <c r="A105" s="38">
        <f t="shared" si="66"/>
        <v>98</v>
      </c>
      <c r="B105" s="38">
        <f>Fmn*10^(LOG(Fmx/Fmn)*1/N*A105)</f>
        <v>7585775.750291842</v>
      </c>
      <c r="C105" s="38">
        <f>SQRT(1+(B105/Fzesr)^2)</f>
        <v>44.814223214822889</v>
      </c>
      <c r="D105" s="38">
        <f t="shared" si="45"/>
        <v>88.721376131301867</v>
      </c>
      <c r="E105" s="38">
        <f t="shared" si="46"/>
        <v>29.276227950913864</v>
      </c>
      <c r="F105" s="38">
        <f t="shared" si="47"/>
        <v>-88.042544042966213</v>
      </c>
      <c r="G105" s="38">
        <f t="shared" si="48"/>
        <v>4480.3065769520408</v>
      </c>
      <c r="H105" s="38">
        <f t="shared" si="49"/>
        <v>89.987211638533054</v>
      </c>
      <c r="I105" s="38">
        <f t="shared" si="50"/>
        <v>47.414857249014432</v>
      </c>
      <c r="J105" s="38">
        <f t="shared" si="51"/>
        <v>169.08459348700296</v>
      </c>
      <c r="K105" s="94">
        <f t="shared" si="52"/>
        <v>-25.382844937027258</v>
      </c>
      <c r="L105" s="94">
        <f t="shared" si="62"/>
        <v>-258.39297303720036</v>
      </c>
      <c r="M105" s="38">
        <f t="shared" si="53"/>
        <v>336.02447289159369</v>
      </c>
      <c r="N105" s="38">
        <f t="shared" si="54"/>
        <v>89.829489014318071</v>
      </c>
      <c r="O105" s="38">
        <f t="shared" si="55"/>
        <v>1120412.6393234811</v>
      </c>
      <c r="P105" s="38">
        <f t="shared" si="56"/>
        <v>89.999948861894723</v>
      </c>
      <c r="Q105" s="38">
        <f t="shared" si="57"/>
        <v>48.611797636650337</v>
      </c>
      <c r="R105" s="38">
        <f t="shared" si="58"/>
        <v>88.821277466360186</v>
      </c>
      <c r="S105" s="95">
        <f t="shared" si="59"/>
        <v>-31.37541429812876</v>
      </c>
      <c r="T105" s="95">
        <f t="shared" si="60"/>
        <v>-88.991737313936838</v>
      </c>
      <c r="U105" s="96">
        <f t="shared" si="61"/>
        <v>-56.758259235156018</v>
      </c>
      <c r="V105" s="96">
        <f t="shared" si="61"/>
        <v>-347.38471035113719</v>
      </c>
      <c r="W105" s="38">
        <f t="shared" si="63"/>
        <v>56.758259235156018</v>
      </c>
      <c r="X105" s="38">
        <f t="shared" si="64"/>
        <v>7585775.750291842</v>
      </c>
      <c r="Y105" s="38">
        <f t="shared" si="65"/>
        <v>-347.38471035113719</v>
      </c>
    </row>
    <row r="106" spans="1:25" x14ac:dyDescent="0.2">
      <c r="A106" s="38">
        <f t="shared" si="66"/>
        <v>99</v>
      </c>
      <c r="B106" s="38">
        <f>Fmn*10^(LOG(Fmx/Fmn)*1/N*A106)</f>
        <v>8709635.8995608073</v>
      </c>
      <c r="C106" s="38">
        <f>SQRT(1+(B106/Fzesr)^2)</f>
        <v>51.450519928839256</v>
      </c>
      <c r="D106" s="38">
        <f t="shared" si="45"/>
        <v>88.886320535043893</v>
      </c>
      <c r="E106" s="38">
        <f t="shared" si="46"/>
        <v>33.608872765995095</v>
      </c>
      <c r="F106" s="38">
        <f t="shared" si="47"/>
        <v>-88.294967007490669</v>
      </c>
      <c r="G106" s="38">
        <f t="shared" si="48"/>
        <v>5144.0801908095145</v>
      </c>
      <c r="H106" s="38">
        <f t="shared" si="49"/>
        <v>89.988861802742434</v>
      </c>
      <c r="I106" s="38">
        <f t="shared" si="50"/>
        <v>62.547706561581002</v>
      </c>
      <c r="J106" s="38">
        <f t="shared" si="51"/>
        <v>170.51365847137782</v>
      </c>
      <c r="K106" s="94">
        <f t="shared" si="52"/>
        <v>-26.590529309742696</v>
      </c>
      <c r="L106" s="94">
        <f t="shared" si="62"/>
        <v>-259.91116674656701</v>
      </c>
      <c r="M106" s="38">
        <f t="shared" si="53"/>
        <v>385.80730300671934</v>
      </c>
      <c r="N106" s="38">
        <f t="shared" si="54"/>
        <v>89.851491033939098</v>
      </c>
      <c r="O106" s="38">
        <f t="shared" si="55"/>
        <v>1286405.8294100109</v>
      </c>
      <c r="P106" s="38">
        <f t="shared" si="56"/>
        <v>89.999955460572238</v>
      </c>
      <c r="Q106" s="38">
        <f t="shared" si="57"/>
        <v>55.810960373969372</v>
      </c>
      <c r="R106" s="38">
        <f t="shared" si="58"/>
        <v>88.973340625363804</v>
      </c>
      <c r="S106" s="95">
        <f t="shared" si="59"/>
        <v>-32.574979872396106</v>
      </c>
      <c r="T106" s="95">
        <f t="shared" si="60"/>
        <v>-89.121805051996944</v>
      </c>
      <c r="U106" s="96">
        <f t="shared" si="61"/>
        <v>-59.165509182138805</v>
      </c>
      <c r="V106" s="96">
        <f t="shared" si="61"/>
        <v>-349.03297179856395</v>
      </c>
      <c r="W106" s="38">
        <f t="shared" si="63"/>
        <v>59.165509182138805</v>
      </c>
      <c r="X106" s="38">
        <f t="shared" si="64"/>
        <v>8709635.8995608073</v>
      </c>
      <c r="Y106" s="38">
        <f t="shared" si="65"/>
        <v>-349.03297179856395</v>
      </c>
    </row>
    <row r="107" spans="1:25" x14ac:dyDescent="0.2">
      <c r="A107" s="38">
        <f t="shared" si="66"/>
        <v>100</v>
      </c>
      <c r="B107" s="38">
        <f>Fmn*10^(LOG(Fmx/Fmn)*1/N*A107)</f>
        <v>10000000</v>
      </c>
      <c r="C107" s="38">
        <f>SQRT(1+(B107/Fzesr)^2)</f>
        <v>59.070406969319436</v>
      </c>
      <c r="D107" s="38">
        <f t="shared" si="45"/>
        <v>89.029996244604959</v>
      </c>
      <c r="E107" s="38">
        <f t="shared" si="46"/>
        <v>38.584024997640476</v>
      </c>
      <c r="F107" s="38">
        <f t="shared" si="47"/>
        <v>-88.514872518861679</v>
      </c>
      <c r="G107" s="38">
        <f t="shared" si="48"/>
        <v>5906.1942734056947</v>
      </c>
      <c r="H107" s="38">
        <f t="shared" si="49"/>
        <v>89.990299035701426</v>
      </c>
      <c r="I107" s="38">
        <f t="shared" si="50"/>
        <v>82.498084598025926</v>
      </c>
      <c r="J107" s="38">
        <f t="shared" si="51"/>
        <v>171.75137597726879</v>
      </c>
      <c r="K107" s="94">
        <f t="shared" si="52"/>
        <v>-27.796503201275652</v>
      </c>
      <c r="L107" s="94">
        <f t="shared" si="62"/>
        <v>-261.22655128722693</v>
      </c>
      <c r="M107" s="38">
        <f t="shared" si="53"/>
        <v>442.9656929131844</v>
      </c>
      <c r="N107" s="38">
        <f t="shared" si="54"/>
        <v>89.870654027848062</v>
      </c>
      <c r="O107" s="38">
        <f t="shared" si="55"/>
        <v>1476991.5117516974</v>
      </c>
      <c r="P107" s="38">
        <f t="shared" si="56"/>
        <v>89.999961207780103</v>
      </c>
      <c r="Q107" s="38">
        <f t="shared" si="57"/>
        <v>64.077072930602256</v>
      </c>
      <c r="R107" s="38">
        <f t="shared" si="58"/>
        <v>89.105793961651997</v>
      </c>
      <c r="S107" s="95">
        <f t="shared" si="59"/>
        <v>-33.774650296550249</v>
      </c>
      <c r="T107" s="95">
        <f t="shared" si="60"/>
        <v>-89.235101141584039</v>
      </c>
      <c r="U107" s="96">
        <f t="shared" si="61"/>
        <v>-61.571153497825904</v>
      </c>
      <c r="V107" s="96">
        <f t="shared" si="61"/>
        <v>-350.46165242881096</v>
      </c>
      <c r="W107" s="38">
        <f t="shared" si="63"/>
        <v>61.571153497825904</v>
      </c>
      <c r="X107" s="38">
        <f t="shared" si="64"/>
        <v>10000000</v>
      </c>
      <c r="Y107" s="38">
        <f t="shared" si="65"/>
        <v>-350.46165242881096</v>
      </c>
    </row>
  </sheetData>
  <mergeCells count="10">
    <mergeCell ref="O4:P4"/>
    <mergeCell ref="Q4:R4"/>
    <mergeCell ref="S4:T4"/>
    <mergeCell ref="U4:V4"/>
    <mergeCell ref="C4:D4"/>
    <mergeCell ref="E4:F4"/>
    <mergeCell ref="G4:H4"/>
    <mergeCell ref="I4:J4"/>
    <mergeCell ref="K4:L4"/>
    <mergeCell ref="M4:N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11" sqref="B11"/>
    </sheetView>
  </sheetViews>
  <sheetFormatPr defaultRowHeight="15" x14ac:dyDescent="0.25"/>
  <cols>
    <col min="1" max="1" width="15" customWidth="1"/>
    <col min="2" max="2" width="10" bestFit="1" customWidth="1"/>
  </cols>
  <sheetData>
    <row r="1" spans="1:6" x14ac:dyDescent="0.25">
      <c r="B1" t="s">
        <v>64</v>
      </c>
      <c r="C1" t="s">
        <v>65</v>
      </c>
      <c r="E1" t="s">
        <v>64</v>
      </c>
      <c r="F1" t="s">
        <v>65</v>
      </c>
    </row>
    <row r="2" spans="1:6" x14ac:dyDescent="0.25">
      <c r="A2" t="s">
        <v>62</v>
      </c>
      <c r="B2">
        <v>100</v>
      </c>
      <c r="C2">
        <v>1000</v>
      </c>
      <c r="E2">
        <f>IF(IC="MAX16990",B2,B3)</f>
        <v>1000</v>
      </c>
      <c r="F2">
        <f>IF(IC="MAX16990",C2,C3)</f>
        <v>2500</v>
      </c>
    </row>
    <row r="3" spans="1:6" x14ac:dyDescent="0.25">
      <c r="A3" t="s">
        <v>63</v>
      </c>
      <c r="B3">
        <v>1000</v>
      </c>
      <c r="C3">
        <v>2500</v>
      </c>
    </row>
    <row r="5" spans="1:6" x14ac:dyDescent="0.25">
      <c r="B5" t="s">
        <v>68</v>
      </c>
      <c r="C5" t="s">
        <v>69</v>
      </c>
      <c r="D5" t="s">
        <v>70</v>
      </c>
    </row>
    <row r="6" spans="1:6" x14ac:dyDescent="0.25">
      <c r="A6" t="s">
        <v>67</v>
      </c>
      <c r="B6">
        <v>0.21199999999999999</v>
      </c>
      <c r="C6">
        <v>0.25</v>
      </c>
      <c r="D6">
        <v>0.28799999999999998</v>
      </c>
      <c r="E6" t="s">
        <v>20</v>
      </c>
    </row>
    <row r="7" spans="1:6" x14ac:dyDescent="0.25">
      <c r="A7" t="s">
        <v>141</v>
      </c>
      <c r="B7">
        <v>0.04</v>
      </c>
      <c r="C7">
        <v>0.05</v>
      </c>
      <c r="D7">
        <v>0.06</v>
      </c>
      <c r="E7" t="s">
        <v>79</v>
      </c>
    </row>
    <row r="9" spans="1:6" x14ac:dyDescent="0.25">
      <c r="A9" s="182" t="s">
        <v>73</v>
      </c>
      <c r="B9" s="183"/>
      <c r="C9" s="184"/>
    </row>
    <row r="10" spans="1:6" x14ac:dyDescent="0.25">
      <c r="A10" s="86" t="s">
        <v>74</v>
      </c>
      <c r="B10" s="86">
        <v>6.9999999999999999E-4</v>
      </c>
      <c r="C10" s="86" t="s">
        <v>75</v>
      </c>
    </row>
    <row r="11" spans="1:6" x14ac:dyDescent="0.25">
      <c r="A11" s="86" t="s">
        <v>76</v>
      </c>
      <c r="B11" s="86">
        <v>50000000</v>
      </c>
      <c r="C11" s="86" t="s">
        <v>3</v>
      </c>
    </row>
    <row r="12" spans="1:6" x14ac:dyDescent="0.25">
      <c r="A12" s="86" t="s">
        <v>77</v>
      </c>
      <c r="B12" s="86">
        <v>8</v>
      </c>
      <c r="C12" s="86" t="s">
        <v>78</v>
      </c>
    </row>
  </sheetData>
  <mergeCells count="1">
    <mergeCell ref="A9:C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679"/>
  <sheetViews>
    <sheetView zoomScale="80" zoomScaleNormal="80" workbookViewId="0">
      <pane ySplit="12" topLeftCell="A13" activePane="bottomLeft" state="frozen"/>
      <selection pane="bottomLeft" activeCell="L10" sqref="L10"/>
    </sheetView>
  </sheetViews>
  <sheetFormatPr defaultRowHeight="15" x14ac:dyDescent="0.25"/>
  <cols>
    <col min="2" max="2" width="7.7109375" style="155" customWidth="1"/>
    <col min="3" max="3" width="7.7109375" style="156" customWidth="1"/>
    <col min="4" max="4" width="7.7109375" style="157" customWidth="1"/>
    <col min="5" max="5" width="7.7109375" style="158" customWidth="1"/>
    <col min="6" max="6" width="7.7109375" style="159" customWidth="1"/>
    <col min="7" max="7" width="7.7109375" style="160" customWidth="1"/>
    <col min="8" max="8" width="7.7109375" customWidth="1"/>
    <col min="9" max="9" width="7.7109375" style="155" customWidth="1"/>
    <col min="10" max="10" width="7.7109375" style="156" customWidth="1"/>
    <col min="11" max="11" width="7.7109375" style="157" customWidth="1"/>
    <col min="12" max="12" width="7.7109375" style="158" customWidth="1"/>
    <col min="13" max="13" width="7.7109375" style="159" customWidth="1"/>
    <col min="14" max="14" width="7.7109375" style="160" customWidth="1"/>
    <col min="15" max="15" width="7.7109375" customWidth="1"/>
    <col min="16" max="16" width="7.7109375" style="155" customWidth="1"/>
    <col min="17" max="17" width="7.7109375" style="156" customWidth="1"/>
    <col min="18" max="18" width="7.7109375" style="157" customWidth="1"/>
    <col min="19" max="19" width="7.7109375" style="158" customWidth="1"/>
    <col min="20" max="20" width="7.7109375" style="159" customWidth="1"/>
    <col min="21" max="21" width="7.7109375" style="160" customWidth="1"/>
    <col min="22" max="42" width="7.7109375" customWidth="1"/>
  </cols>
  <sheetData>
    <row r="1" spans="2:42" x14ac:dyDescent="0.25">
      <c r="B1" s="141"/>
      <c r="C1" s="141"/>
      <c r="D1" s="141"/>
      <c r="E1" s="141"/>
      <c r="F1" s="141"/>
      <c r="G1" s="141"/>
      <c r="H1" s="141"/>
      <c r="I1" s="141"/>
      <c r="J1" s="141"/>
      <c r="K1" s="141"/>
      <c r="L1" s="141"/>
      <c r="M1" s="141"/>
      <c r="N1" s="141"/>
      <c r="O1" s="141"/>
      <c r="P1" s="141"/>
      <c r="Q1" s="141"/>
      <c r="R1" s="141"/>
      <c r="S1" s="141"/>
      <c r="T1" s="141"/>
      <c r="U1" s="141"/>
    </row>
    <row r="2" spans="2:42" x14ac:dyDescent="0.25">
      <c r="B2" s="141"/>
      <c r="C2" s="141"/>
      <c r="D2" s="141"/>
      <c r="E2" s="141"/>
      <c r="F2" s="141"/>
      <c r="G2" s="141"/>
      <c r="H2" s="141"/>
      <c r="I2" s="141"/>
      <c r="J2" s="141"/>
      <c r="K2" s="141"/>
      <c r="L2" s="141"/>
      <c r="M2" s="141"/>
      <c r="N2" s="141"/>
      <c r="O2" s="141"/>
      <c r="P2" s="141"/>
      <c r="Q2" s="141"/>
      <c r="R2" s="141"/>
      <c r="S2" s="141"/>
      <c r="T2" s="141"/>
      <c r="U2" s="141"/>
    </row>
    <row r="3" spans="2:42" x14ac:dyDescent="0.25">
      <c r="B3" s="141"/>
      <c r="C3" s="141"/>
      <c r="D3" s="141"/>
      <c r="E3" s="141"/>
      <c r="F3" s="141"/>
      <c r="G3" s="141"/>
      <c r="H3" s="141"/>
      <c r="I3" s="141"/>
      <c r="J3" s="141"/>
      <c r="K3" s="141"/>
      <c r="L3" s="141"/>
      <c r="M3" s="141"/>
      <c r="N3" s="141"/>
      <c r="O3" s="141"/>
      <c r="P3" s="141"/>
      <c r="Q3" s="141"/>
      <c r="R3" s="141"/>
      <c r="S3" s="141"/>
      <c r="T3" s="141"/>
      <c r="U3" s="141"/>
    </row>
    <row r="4" spans="2:42" x14ac:dyDescent="0.25">
      <c r="B4" s="141"/>
      <c r="C4" s="141"/>
      <c r="D4" s="141"/>
      <c r="E4" s="141"/>
      <c r="F4" s="141"/>
      <c r="G4" s="141"/>
      <c r="H4" s="141"/>
      <c r="I4" s="141"/>
      <c r="J4" s="141"/>
      <c r="K4" s="141"/>
      <c r="L4" s="141"/>
      <c r="M4" s="141"/>
      <c r="N4" s="141"/>
      <c r="O4" s="141"/>
      <c r="P4" s="141"/>
      <c r="Q4" s="141"/>
      <c r="R4" s="141"/>
      <c r="S4" s="141"/>
      <c r="T4" s="141"/>
      <c r="U4" s="141"/>
    </row>
    <row r="5" spans="2:42" x14ac:dyDescent="0.25">
      <c r="B5" s="141"/>
      <c r="C5" s="141"/>
      <c r="D5" s="141"/>
      <c r="E5" s="141"/>
      <c r="F5" s="141"/>
      <c r="G5" s="141"/>
      <c r="H5" s="141"/>
      <c r="I5" s="141"/>
      <c r="J5" s="141"/>
      <c r="K5" s="141"/>
      <c r="L5" s="141"/>
      <c r="M5" s="141"/>
      <c r="N5" s="141"/>
      <c r="O5" s="141"/>
      <c r="P5" s="141"/>
      <c r="Q5" s="141"/>
      <c r="R5" s="141"/>
      <c r="S5" s="141"/>
      <c r="T5" s="141"/>
      <c r="U5" s="141"/>
    </row>
    <row r="6" spans="2:42" x14ac:dyDescent="0.25">
      <c r="B6" s="141"/>
      <c r="C6" s="141"/>
      <c r="D6" s="141"/>
      <c r="E6" s="141"/>
      <c r="F6" s="141"/>
      <c r="G6" s="141"/>
      <c r="H6" s="141"/>
      <c r="I6" s="141"/>
      <c r="J6" s="141"/>
      <c r="K6" s="141"/>
      <c r="L6" s="141"/>
      <c r="M6" s="141"/>
      <c r="N6" s="141"/>
      <c r="O6" s="141"/>
      <c r="P6" s="141"/>
      <c r="Q6" s="141"/>
      <c r="R6" s="141"/>
      <c r="S6" s="141"/>
      <c r="T6" s="141"/>
      <c r="U6" s="141"/>
    </row>
    <row r="7" spans="2:42" x14ac:dyDescent="0.25">
      <c r="B7" s="141"/>
      <c r="C7" s="141"/>
      <c r="D7" s="141"/>
      <c r="E7" s="141"/>
      <c r="F7" s="141"/>
      <c r="G7" s="141"/>
      <c r="H7" s="141"/>
      <c r="I7" s="141"/>
      <c r="J7" s="141"/>
      <c r="K7" s="141"/>
      <c r="L7" s="141"/>
      <c r="M7" s="141"/>
      <c r="N7" s="141"/>
      <c r="O7" s="141"/>
      <c r="P7" s="141"/>
      <c r="Q7" s="141"/>
      <c r="R7" s="141"/>
      <c r="S7" s="141"/>
      <c r="T7" s="141"/>
      <c r="U7" s="141"/>
    </row>
    <row r="8" spans="2:42" x14ac:dyDescent="0.25">
      <c r="B8" s="141"/>
      <c r="C8" s="141"/>
      <c r="D8" s="141"/>
      <c r="E8" s="141"/>
      <c r="F8" s="141"/>
      <c r="G8" s="141"/>
      <c r="H8" s="141"/>
      <c r="I8" s="141"/>
      <c r="J8" s="141"/>
      <c r="K8" s="141"/>
      <c r="L8" s="141"/>
      <c r="M8" s="141"/>
      <c r="N8" s="141"/>
      <c r="O8" s="141"/>
      <c r="P8" s="141"/>
      <c r="Q8" s="141"/>
      <c r="R8" s="141"/>
      <c r="S8" s="141"/>
      <c r="T8" s="141"/>
      <c r="U8" s="141"/>
    </row>
    <row r="9" spans="2:42" x14ac:dyDescent="0.25">
      <c r="B9" s="141"/>
      <c r="C9" s="141"/>
      <c r="D9" s="141"/>
      <c r="E9" s="141"/>
      <c r="F9" s="141"/>
      <c r="G9" s="141"/>
      <c r="H9" s="141"/>
      <c r="I9" s="141"/>
      <c r="J9" s="141"/>
      <c r="K9" s="141"/>
      <c r="L9" s="141"/>
      <c r="M9" s="141"/>
      <c r="N9" s="141"/>
      <c r="O9" s="141"/>
      <c r="P9" s="141"/>
      <c r="Q9" s="141"/>
      <c r="R9" s="141"/>
      <c r="S9" s="141"/>
      <c r="T9" s="141"/>
      <c r="U9" s="141"/>
    </row>
    <row r="10" spans="2:42" x14ac:dyDescent="0.25">
      <c r="B10" s="141"/>
      <c r="C10" s="141"/>
      <c r="D10" s="141"/>
      <c r="E10" s="141"/>
      <c r="F10" s="141"/>
      <c r="G10" s="141"/>
      <c r="H10" s="141"/>
      <c r="I10" s="141"/>
      <c r="J10" s="141"/>
      <c r="K10" s="141"/>
      <c r="L10" s="141"/>
      <c r="M10" s="141"/>
      <c r="N10" s="141"/>
      <c r="O10" s="141"/>
      <c r="P10" s="141"/>
      <c r="Q10" s="141"/>
      <c r="R10" s="141"/>
      <c r="S10" s="141"/>
      <c r="T10" s="141"/>
      <c r="U10" s="141"/>
    </row>
    <row r="11" spans="2:42" ht="15.75" thickBot="1" x14ac:dyDescent="0.3">
      <c r="B11" s="141"/>
      <c r="C11" s="141"/>
      <c r="D11" s="141"/>
      <c r="E11" s="141"/>
      <c r="F11" s="141"/>
      <c r="G11" s="141"/>
      <c r="H11" s="141"/>
      <c r="I11" s="142"/>
      <c r="J11" s="142"/>
      <c r="K11" s="142"/>
      <c r="L11" s="142"/>
      <c r="M11" s="142"/>
      <c r="N11" s="142"/>
      <c r="O11" s="141"/>
      <c r="P11" s="141"/>
      <c r="Q11" s="141"/>
      <c r="R11" s="141"/>
      <c r="S11" s="141"/>
      <c r="T11" s="141"/>
      <c r="U11" s="141"/>
      <c r="W11" s="143"/>
      <c r="X11" s="143"/>
      <c r="Y11" s="143"/>
      <c r="Z11" s="144"/>
      <c r="AA11" s="144"/>
      <c r="AB11" s="144"/>
      <c r="AC11" s="144"/>
      <c r="AD11" s="144"/>
      <c r="AE11" s="144"/>
    </row>
    <row r="12" spans="2:42" ht="30.75" thickBot="1" x14ac:dyDescent="0.3">
      <c r="B12" s="145" t="s">
        <v>134</v>
      </c>
      <c r="C12" s="146" t="s">
        <v>135</v>
      </c>
      <c r="D12" s="147" t="s">
        <v>136</v>
      </c>
      <c r="E12" s="148" t="s">
        <v>137</v>
      </c>
      <c r="F12" s="149" t="s">
        <v>138</v>
      </c>
      <c r="G12" s="150" t="s">
        <v>139</v>
      </c>
      <c r="H12" s="151"/>
      <c r="I12" s="145" t="s">
        <v>134</v>
      </c>
      <c r="J12" s="146" t="s">
        <v>135</v>
      </c>
      <c r="K12" s="147" t="s">
        <v>136</v>
      </c>
      <c r="L12" s="148" t="s">
        <v>137</v>
      </c>
      <c r="M12" s="149" t="s">
        <v>138</v>
      </c>
      <c r="N12" s="150" t="s">
        <v>139</v>
      </c>
      <c r="O12" s="151"/>
      <c r="P12" s="145" t="s">
        <v>134</v>
      </c>
      <c r="Q12" s="146" t="s">
        <v>135</v>
      </c>
      <c r="R12" s="147" t="s">
        <v>136</v>
      </c>
      <c r="S12" s="148" t="s">
        <v>137</v>
      </c>
      <c r="T12" s="149" t="s">
        <v>138</v>
      </c>
      <c r="U12" s="150" t="s">
        <v>139</v>
      </c>
      <c r="V12" s="151"/>
      <c r="W12" s="145" t="s">
        <v>134</v>
      </c>
      <c r="X12" s="146" t="s">
        <v>135</v>
      </c>
      <c r="Y12" s="147" t="s">
        <v>136</v>
      </c>
      <c r="Z12" s="148" t="s">
        <v>137</v>
      </c>
      <c r="AA12" s="149" t="s">
        <v>138</v>
      </c>
      <c r="AB12" s="150" t="s">
        <v>139</v>
      </c>
      <c r="AC12" s="151"/>
      <c r="AD12" s="145" t="s">
        <v>134</v>
      </c>
      <c r="AE12" s="146" t="s">
        <v>135</v>
      </c>
      <c r="AF12" s="147" t="s">
        <v>136</v>
      </c>
      <c r="AG12" s="148" t="s">
        <v>137</v>
      </c>
      <c r="AH12" s="149" t="s">
        <v>138</v>
      </c>
      <c r="AI12" s="150" t="s">
        <v>139</v>
      </c>
      <c r="AJ12" s="151"/>
      <c r="AK12" s="145" t="s">
        <v>134</v>
      </c>
      <c r="AL12" s="146" t="s">
        <v>135</v>
      </c>
      <c r="AM12" s="147" t="s">
        <v>136</v>
      </c>
      <c r="AN12" s="148" t="s">
        <v>137</v>
      </c>
      <c r="AO12" s="149" t="s">
        <v>138</v>
      </c>
      <c r="AP12" s="150" t="s">
        <v>139</v>
      </c>
    </row>
    <row r="13" spans="2:42" x14ac:dyDescent="0.25">
      <c r="B13" s="187">
        <v>100</v>
      </c>
      <c r="C13" s="189">
        <v>100</v>
      </c>
      <c r="D13" s="191">
        <v>100</v>
      </c>
      <c r="E13" s="193">
        <v>100</v>
      </c>
      <c r="F13" s="194">
        <v>100</v>
      </c>
      <c r="G13" s="152">
        <v>100</v>
      </c>
      <c r="H13" s="153"/>
      <c r="I13" s="188">
        <v>150</v>
      </c>
      <c r="J13" s="203">
        <v>150</v>
      </c>
      <c r="K13" s="200">
        <v>150</v>
      </c>
      <c r="L13" s="186">
        <v>147</v>
      </c>
      <c r="M13" s="185">
        <v>147</v>
      </c>
      <c r="N13" s="154">
        <v>147</v>
      </c>
      <c r="O13" s="153"/>
      <c r="P13" s="188">
        <v>220</v>
      </c>
      <c r="Q13" s="201">
        <v>220</v>
      </c>
      <c r="R13" s="202">
        <v>220</v>
      </c>
      <c r="S13" s="186">
        <v>215</v>
      </c>
      <c r="T13" s="185">
        <v>215</v>
      </c>
      <c r="U13" s="154">
        <v>215</v>
      </c>
      <c r="W13" s="188">
        <v>330</v>
      </c>
      <c r="X13" s="201">
        <v>330</v>
      </c>
      <c r="Y13" s="202">
        <v>330</v>
      </c>
      <c r="Z13" s="186">
        <v>316</v>
      </c>
      <c r="AA13" s="185">
        <v>316</v>
      </c>
      <c r="AB13" s="154">
        <v>316</v>
      </c>
      <c r="AC13" s="153"/>
      <c r="AD13" s="188">
        <v>470</v>
      </c>
      <c r="AE13" s="201">
        <v>470</v>
      </c>
      <c r="AF13" s="202">
        <v>470</v>
      </c>
      <c r="AG13" s="186">
        <v>464</v>
      </c>
      <c r="AH13" s="185">
        <v>464</v>
      </c>
      <c r="AI13" s="154">
        <v>464</v>
      </c>
      <c r="AJ13" s="153"/>
      <c r="AK13" s="188">
        <v>680</v>
      </c>
      <c r="AL13" s="201">
        <v>680</v>
      </c>
      <c r="AM13" s="202">
        <v>680</v>
      </c>
      <c r="AN13" s="186">
        <v>681</v>
      </c>
      <c r="AO13" s="185">
        <v>681</v>
      </c>
      <c r="AP13" s="154">
        <v>681</v>
      </c>
    </row>
    <row r="14" spans="2:42" x14ac:dyDescent="0.25">
      <c r="B14" s="188"/>
      <c r="C14" s="189"/>
      <c r="D14" s="191">
        <v>11</v>
      </c>
      <c r="E14" s="186"/>
      <c r="F14" s="195"/>
      <c r="G14" s="154">
        <v>101</v>
      </c>
      <c r="H14" s="153"/>
      <c r="I14" s="188"/>
      <c r="J14" s="189"/>
      <c r="K14" s="191">
        <v>11</v>
      </c>
      <c r="L14" s="186"/>
      <c r="M14" s="185"/>
      <c r="N14" s="154">
        <v>149</v>
      </c>
      <c r="O14" s="153"/>
      <c r="P14" s="188"/>
      <c r="Q14" s="201"/>
      <c r="R14" s="202"/>
      <c r="S14" s="186"/>
      <c r="T14" s="185"/>
      <c r="U14" s="154">
        <v>218</v>
      </c>
      <c r="W14" s="188"/>
      <c r="X14" s="201"/>
      <c r="Y14" s="202"/>
      <c r="Z14" s="186"/>
      <c r="AA14" s="185"/>
      <c r="AB14" s="154">
        <v>320</v>
      </c>
      <c r="AC14" s="153"/>
      <c r="AD14" s="188"/>
      <c r="AE14" s="201"/>
      <c r="AF14" s="202"/>
      <c r="AG14" s="186"/>
      <c r="AH14" s="185"/>
      <c r="AI14" s="154">
        <v>470</v>
      </c>
      <c r="AJ14" s="153"/>
      <c r="AK14" s="188"/>
      <c r="AL14" s="201"/>
      <c r="AM14" s="202"/>
      <c r="AN14" s="186"/>
      <c r="AO14" s="185"/>
      <c r="AP14" s="154">
        <v>690</v>
      </c>
    </row>
    <row r="15" spans="2:42" x14ac:dyDescent="0.25">
      <c r="B15" s="188"/>
      <c r="C15" s="189"/>
      <c r="D15" s="191">
        <v>12</v>
      </c>
      <c r="E15" s="186"/>
      <c r="F15" s="196">
        <v>102</v>
      </c>
      <c r="G15" s="154">
        <v>102</v>
      </c>
      <c r="H15" s="153"/>
      <c r="I15" s="188"/>
      <c r="J15" s="189"/>
      <c r="K15" s="191">
        <v>12</v>
      </c>
      <c r="L15" s="186"/>
      <c r="M15" s="185">
        <v>150</v>
      </c>
      <c r="N15" s="154">
        <v>150</v>
      </c>
      <c r="O15" s="153"/>
      <c r="P15" s="188"/>
      <c r="Q15" s="201"/>
      <c r="R15" s="202"/>
      <c r="S15" s="186"/>
      <c r="T15" s="185">
        <v>221</v>
      </c>
      <c r="U15" s="154">
        <v>221</v>
      </c>
      <c r="W15" s="188"/>
      <c r="X15" s="201"/>
      <c r="Y15" s="202"/>
      <c r="Z15" s="186"/>
      <c r="AA15" s="185">
        <v>324</v>
      </c>
      <c r="AB15" s="154">
        <v>324</v>
      </c>
      <c r="AC15" s="153"/>
      <c r="AD15" s="188"/>
      <c r="AE15" s="201"/>
      <c r="AF15" s="202"/>
      <c r="AG15" s="186"/>
      <c r="AH15" s="185">
        <v>475</v>
      </c>
      <c r="AI15" s="154">
        <v>475</v>
      </c>
      <c r="AJ15" s="153"/>
      <c r="AK15" s="188"/>
      <c r="AL15" s="201"/>
      <c r="AM15" s="202"/>
      <c r="AN15" s="186"/>
      <c r="AO15" s="185">
        <v>698</v>
      </c>
      <c r="AP15" s="154">
        <v>698</v>
      </c>
    </row>
    <row r="16" spans="2:42" x14ac:dyDescent="0.25">
      <c r="B16" s="188"/>
      <c r="C16" s="189"/>
      <c r="D16" s="191">
        <v>13</v>
      </c>
      <c r="E16" s="186"/>
      <c r="F16" s="197"/>
      <c r="G16" s="154">
        <v>104</v>
      </c>
      <c r="H16" s="153"/>
      <c r="I16" s="188"/>
      <c r="J16" s="189"/>
      <c r="K16" s="191">
        <v>13</v>
      </c>
      <c r="L16" s="186"/>
      <c r="M16" s="185"/>
      <c r="N16" s="154">
        <v>152</v>
      </c>
      <c r="O16" s="153"/>
      <c r="P16" s="188"/>
      <c r="Q16" s="201"/>
      <c r="R16" s="202"/>
      <c r="S16" s="186"/>
      <c r="T16" s="185"/>
      <c r="U16" s="154">
        <v>223</v>
      </c>
      <c r="W16" s="188"/>
      <c r="X16" s="201"/>
      <c r="Y16" s="202"/>
      <c r="Z16" s="186"/>
      <c r="AA16" s="185"/>
      <c r="AB16" s="154">
        <v>328</v>
      </c>
      <c r="AC16" s="153"/>
      <c r="AD16" s="188"/>
      <c r="AE16" s="201"/>
      <c r="AF16" s="202"/>
      <c r="AG16" s="186"/>
      <c r="AH16" s="185"/>
      <c r="AI16" s="154">
        <v>481</v>
      </c>
      <c r="AJ16" s="153"/>
      <c r="AK16" s="188"/>
      <c r="AL16" s="201"/>
      <c r="AM16" s="202"/>
      <c r="AN16" s="186"/>
      <c r="AO16" s="185"/>
      <c r="AP16" s="154">
        <v>706</v>
      </c>
    </row>
    <row r="17" spans="2:42" x14ac:dyDescent="0.25">
      <c r="B17" s="188"/>
      <c r="C17" s="189"/>
      <c r="D17" s="191">
        <v>15</v>
      </c>
      <c r="E17" s="186">
        <v>105</v>
      </c>
      <c r="F17" s="198">
        <v>105</v>
      </c>
      <c r="G17" s="154">
        <v>105</v>
      </c>
      <c r="H17" s="153"/>
      <c r="I17" s="188"/>
      <c r="J17" s="189"/>
      <c r="K17" s="191">
        <v>15</v>
      </c>
      <c r="L17" s="186">
        <v>154</v>
      </c>
      <c r="M17" s="185">
        <v>154</v>
      </c>
      <c r="N17" s="154">
        <v>154</v>
      </c>
      <c r="O17" s="153"/>
      <c r="P17" s="188"/>
      <c r="Q17" s="201"/>
      <c r="R17" s="202"/>
      <c r="S17" s="186">
        <v>226</v>
      </c>
      <c r="T17" s="185">
        <v>226</v>
      </c>
      <c r="U17" s="154">
        <v>226</v>
      </c>
      <c r="W17" s="188"/>
      <c r="X17" s="201"/>
      <c r="Y17" s="202"/>
      <c r="Z17" s="186">
        <v>332</v>
      </c>
      <c r="AA17" s="185">
        <v>332</v>
      </c>
      <c r="AB17" s="154">
        <v>332</v>
      </c>
      <c r="AC17" s="153"/>
      <c r="AD17" s="188"/>
      <c r="AE17" s="201"/>
      <c r="AF17" s="202"/>
      <c r="AG17" s="186">
        <v>487</v>
      </c>
      <c r="AH17" s="185">
        <v>487</v>
      </c>
      <c r="AI17" s="154">
        <v>487</v>
      </c>
      <c r="AJ17" s="153"/>
      <c r="AK17" s="188"/>
      <c r="AL17" s="201"/>
      <c r="AM17" s="202"/>
      <c r="AN17" s="186">
        <v>715</v>
      </c>
      <c r="AO17" s="185">
        <v>715</v>
      </c>
      <c r="AP17" s="154">
        <v>715</v>
      </c>
    </row>
    <row r="18" spans="2:42" x14ac:dyDescent="0.25">
      <c r="B18" s="188"/>
      <c r="C18" s="189"/>
      <c r="D18" s="191"/>
      <c r="E18" s="186"/>
      <c r="F18" s="199"/>
      <c r="G18" s="154">
        <v>106</v>
      </c>
      <c r="H18" s="153"/>
      <c r="I18" s="188"/>
      <c r="J18" s="189"/>
      <c r="K18" s="191">
        <v>16</v>
      </c>
      <c r="L18" s="186"/>
      <c r="M18" s="185"/>
      <c r="N18" s="154">
        <v>156</v>
      </c>
      <c r="O18" s="153"/>
      <c r="P18" s="188"/>
      <c r="Q18" s="201"/>
      <c r="R18" s="202"/>
      <c r="S18" s="186"/>
      <c r="T18" s="185"/>
      <c r="U18" s="154">
        <v>229</v>
      </c>
      <c r="W18" s="188"/>
      <c r="X18" s="201"/>
      <c r="Y18" s="202"/>
      <c r="Z18" s="186"/>
      <c r="AA18" s="185"/>
      <c r="AB18" s="154">
        <v>336</v>
      </c>
      <c r="AC18" s="153"/>
      <c r="AD18" s="188"/>
      <c r="AE18" s="201"/>
      <c r="AF18" s="202"/>
      <c r="AG18" s="186"/>
      <c r="AH18" s="185"/>
      <c r="AI18" s="154">
        <v>493</v>
      </c>
      <c r="AJ18" s="153"/>
      <c r="AK18" s="188"/>
      <c r="AL18" s="201"/>
      <c r="AM18" s="202"/>
      <c r="AN18" s="186"/>
      <c r="AO18" s="185"/>
      <c r="AP18" s="154">
        <v>723</v>
      </c>
    </row>
    <row r="19" spans="2:42" x14ac:dyDescent="0.25">
      <c r="B19" s="188"/>
      <c r="C19" s="189"/>
      <c r="D19" s="191"/>
      <c r="E19" s="186"/>
      <c r="F19" s="198">
        <v>107</v>
      </c>
      <c r="G19" s="154">
        <v>107</v>
      </c>
      <c r="H19" s="153"/>
      <c r="I19" s="188"/>
      <c r="J19" s="189"/>
      <c r="K19" s="191">
        <v>18</v>
      </c>
      <c r="L19" s="186"/>
      <c r="M19" s="185">
        <v>158</v>
      </c>
      <c r="N19" s="154">
        <v>158</v>
      </c>
      <c r="O19" s="153"/>
      <c r="P19" s="188"/>
      <c r="Q19" s="201"/>
      <c r="R19" s="202"/>
      <c r="S19" s="186"/>
      <c r="T19" s="185">
        <v>232</v>
      </c>
      <c r="U19" s="154">
        <v>232</v>
      </c>
      <c r="W19" s="188"/>
      <c r="X19" s="201"/>
      <c r="Y19" s="202"/>
      <c r="Z19" s="186"/>
      <c r="AA19" s="185">
        <v>340</v>
      </c>
      <c r="AB19" s="154">
        <v>340</v>
      </c>
      <c r="AC19" s="153"/>
      <c r="AD19" s="188"/>
      <c r="AE19" s="201"/>
      <c r="AF19" s="202"/>
      <c r="AG19" s="186"/>
      <c r="AH19" s="185">
        <v>499</v>
      </c>
      <c r="AI19" s="154">
        <v>499</v>
      </c>
      <c r="AJ19" s="153"/>
      <c r="AK19" s="188"/>
      <c r="AL19" s="201"/>
      <c r="AM19" s="202"/>
      <c r="AN19" s="186"/>
      <c r="AO19" s="185">
        <v>732</v>
      </c>
      <c r="AP19" s="154">
        <v>732</v>
      </c>
    </row>
    <row r="20" spans="2:42" x14ac:dyDescent="0.25">
      <c r="B20" s="188"/>
      <c r="C20" s="189"/>
      <c r="D20" s="192"/>
      <c r="E20" s="186"/>
      <c r="F20" s="199"/>
      <c r="G20" s="154">
        <v>109</v>
      </c>
      <c r="H20" s="153"/>
      <c r="I20" s="188"/>
      <c r="J20" s="189"/>
      <c r="K20" s="192">
        <v>20</v>
      </c>
      <c r="L20" s="186"/>
      <c r="M20" s="185"/>
      <c r="N20" s="154">
        <v>160</v>
      </c>
      <c r="O20" s="153"/>
      <c r="P20" s="188"/>
      <c r="Q20" s="201"/>
      <c r="R20" s="202"/>
      <c r="S20" s="186"/>
      <c r="T20" s="185"/>
      <c r="U20" s="154">
        <v>234</v>
      </c>
      <c r="W20" s="188"/>
      <c r="X20" s="201"/>
      <c r="Y20" s="202"/>
      <c r="Z20" s="186"/>
      <c r="AA20" s="185"/>
      <c r="AB20" s="154">
        <v>344</v>
      </c>
      <c r="AC20" s="153"/>
      <c r="AD20" s="188"/>
      <c r="AE20" s="201"/>
      <c r="AF20" s="202"/>
      <c r="AG20" s="186"/>
      <c r="AH20" s="185"/>
      <c r="AI20" s="154">
        <v>505</v>
      </c>
      <c r="AJ20" s="153"/>
      <c r="AK20" s="188"/>
      <c r="AL20" s="201"/>
      <c r="AM20" s="202"/>
      <c r="AN20" s="186"/>
      <c r="AO20" s="185"/>
      <c r="AP20" s="154">
        <v>741</v>
      </c>
    </row>
    <row r="21" spans="2:42" x14ac:dyDescent="0.25">
      <c r="B21" s="188"/>
      <c r="C21" s="189"/>
      <c r="D21" s="200">
        <v>110</v>
      </c>
      <c r="E21" s="186">
        <v>110</v>
      </c>
      <c r="F21" s="185">
        <v>110</v>
      </c>
      <c r="G21" s="154">
        <v>110</v>
      </c>
      <c r="H21" s="153"/>
      <c r="I21" s="188"/>
      <c r="J21" s="189"/>
      <c r="K21" s="200">
        <v>160</v>
      </c>
      <c r="L21" s="186">
        <v>162</v>
      </c>
      <c r="M21" s="185">
        <v>162</v>
      </c>
      <c r="N21" s="154">
        <v>162</v>
      </c>
      <c r="O21" s="153"/>
      <c r="P21" s="188"/>
      <c r="Q21" s="201"/>
      <c r="R21" s="202">
        <v>240</v>
      </c>
      <c r="S21" s="186">
        <v>237</v>
      </c>
      <c r="T21" s="185">
        <v>237</v>
      </c>
      <c r="U21" s="154">
        <v>237</v>
      </c>
      <c r="W21" s="188"/>
      <c r="X21" s="201"/>
      <c r="Y21" s="202">
        <v>360</v>
      </c>
      <c r="Z21" s="186">
        <v>348</v>
      </c>
      <c r="AA21" s="185">
        <v>348</v>
      </c>
      <c r="AB21" s="154">
        <v>348</v>
      </c>
      <c r="AC21" s="153"/>
      <c r="AD21" s="188"/>
      <c r="AE21" s="201"/>
      <c r="AF21" s="202">
        <v>510</v>
      </c>
      <c r="AG21" s="186">
        <v>510</v>
      </c>
      <c r="AH21" s="185">
        <v>511</v>
      </c>
      <c r="AI21" s="154">
        <v>511</v>
      </c>
      <c r="AJ21" s="153"/>
      <c r="AK21" s="188"/>
      <c r="AL21" s="201"/>
      <c r="AM21" s="202">
        <v>750</v>
      </c>
      <c r="AN21" s="186">
        <v>750</v>
      </c>
      <c r="AO21" s="185">
        <v>750</v>
      </c>
      <c r="AP21" s="154">
        <v>750</v>
      </c>
    </row>
    <row r="22" spans="2:42" x14ac:dyDescent="0.25">
      <c r="B22" s="188"/>
      <c r="C22" s="189"/>
      <c r="D22" s="191"/>
      <c r="E22" s="186"/>
      <c r="F22" s="185"/>
      <c r="G22" s="154">
        <v>111</v>
      </c>
      <c r="H22" s="153"/>
      <c r="I22" s="188"/>
      <c r="J22" s="189"/>
      <c r="K22" s="191">
        <v>11</v>
      </c>
      <c r="L22" s="186"/>
      <c r="M22" s="185"/>
      <c r="N22" s="154">
        <v>164</v>
      </c>
      <c r="O22" s="153"/>
      <c r="P22" s="188"/>
      <c r="Q22" s="201"/>
      <c r="R22" s="202"/>
      <c r="S22" s="186"/>
      <c r="T22" s="185"/>
      <c r="U22" s="154">
        <v>240</v>
      </c>
      <c r="W22" s="188"/>
      <c r="X22" s="201"/>
      <c r="Y22" s="202"/>
      <c r="Z22" s="186"/>
      <c r="AA22" s="185"/>
      <c r="AB22" s="154">
        <v>352</v>
      </c>
      <c r="AC22" s="153"/>
      <c r="AD22" s="188"/>
      <c r="AE22" s="201"/>
      <c r="AF22" s="202"/>
      <c r="AG22" s="186"/>
      <c r="AH22" s="185"/>
      <c r="AI22" s="154">
        <v>517</v>
      </c>
      <c r="AJ22" s="153"/>
      <c r="AK22" s="188"/>
      <c r="AL22" s="201"/>
      <c r="AM22" s="202"/>
      <c r="AN22" s="186"/>
      <c r="AO22" s="185"/>
      <c r="AP22" s="154">
        <v>759</v>
      </c>
    </row>
    <row r="23" spans="2:42" x14ac:dyDescent="0.25">
      <c r="B23" s="188"/>
      <c r="C23" s="189"/>
      <c r="D23" s="191">
        <v>12</v>
      </c>
      <c r="E23" s="186"/>
      <c r="F23" s="185">
        <v>113</v>
      </c>
      <c r="G23" s="154">
        <v>113</v>
      </c>
      <c r="H23" s="153"/>
      <c r="I23" s="188"/>
      <c r="J23" s="189"/>
      <c r="K23" s="191">
        <v>12</v>
      </c>
      <c r="L23" s="186"/>
      <c r="M23" s="185">
        <v>165</v>
      </c>
      <c r="N23" s="154">
        <v>165</v>
      </c>
      <c r="O23" s="153"/>
      <c r="P23" s="188"/>
      <c r="Q23" s="201"/>
      <c r="R23" s="202"/>
      <c r="S23" s="186"/>
      <c r="T23" s="185">
        <v>243</v>
      </c>
      <c r="U23" s="154">
        <v>243</v>
      </c>
      <c r="W23" s="188"/>
      <c r="X23" s="201"/>
      <c r="Y23" s="202"/>
      <c r="Z23" s="186"/>
      <c r="AA23" s="185">
        <v>357</v>
      </c>
      <c r="AB23" s="154">
        <v>357</v>
      </c>
      <c r="AC23" s="153"/>
      <c r="AD23" s="188"/>
      <c r="AE23" s="201"/>
      <c r="AF23" s="202"/>
      <c r="AG23" s="186"/>
      <c r="AH23" s="185">
        <v>523</v>
      </c>
      <c r="AI23" s="154">
        <v>523</v>
      </c>
      <c r="AJ23" s="153"/>
      <c r="AK23" s="188"/>
      <c r="AL23" s="201"/>
      <c r="AM23" s="202"/>
      <c r="AN23" s="186"/>
      <c r="AO23" s="185">
        <v>768</v>
      </c>
      <c r="AP23" s="154">
        <v>768</v>
      </c>
    </row>
    <row r="24" spans="2:42" x14ac:dyDescent="0.25">
      <c r="B24" s="188"/>
      <c r="C24" s="189"/>
      <c r="D24" s="191">
        <v>13</v>
      </c>
      <c r="E24" s="186"/>
      <c r="F24" s="185"/>
      <c r="G24" s="154">
        <v>114</v>
      </c>
      <c r="H24" s="153"/>
      <c r="I24" s="188"/>
      <c r="J24" s="189"/>
      <c r="K24" s="191">
        <v>13</v>
      </c>
      <c r="L24" s="186"/>
      <c r="M24" s="185"/>
      <c r="N24" s="154">
        <v>167</v>
      </c>
      <c r="O24" s="153"/>
      <c r="P24" s="188"/>
      <c r="Q24" s="201"/>
      <c r="R24" s="202"/>
      <c r="S24" s="186"/>
      <c r="T24" s="185"/>
      <c r="U24" s="154">
        <v>246</v>
      </c>
      <c r="W24" s="188"/>
      <c r="X24" s="201"/>
      <c r="Y24" s="202"/>
      <c r="Z24" s="186"/>
      <c r="AA24" s="185"/>
      <c r="AB24" s="154">
        <v>361</v>
      </c>
      <c r="AC24" s="153"/>
      <c r="AD24" s="188"/>
      <c r="AE24" s="201"/>
      <c r="AF24" s="202"/>
      <c r="AG24" s="186"/>
      <c r="AH24" s="185"/>
      <c r="AI24" s="154">
        <v>530</v>
      </c>
      <c r="AJ24" s="153"/>
      <c r="AK24" s="188"/>
      <c r="AL24" s="201"/>
      <c r="AM24" s="202"/>
      <c r="AN24" s="186"/>
      <c r="AO24" s="185"/>
      <c r="AP24" s="154">
        <v>777</v>
      </c>
    </row>
    <row r="25" spans="2:42" x14ac:dyDescent="0.25">
      <c r="B25" s="188"/>
      <c r="C25" s="189"/>
      <c r="D25" s="191">
        <v>15</v>
      </c>
      <c r="E25" s="186">
        <v>115</v>
      </c>
      <c r="F25" s="185">
        <v>115</v>
      </c>
      <c r="G25" s="154">
        <v>115</v>
      </c>
      <c r="H25" s="153"/>
      <c r="I25" s="188"/>
      <c r="J25" s="189"/>
      <c r="K25" s="191">
        <v>15</v>
      </c>
      <c r="L25" s="186">
        <v>169</v>
      </c>
      <c r="M25" s="185">
        <v>169</v>
      </c>
      <c r="N25" s="154">
        <v>169</v>
      </c>
      <c r="O25" s="153"/>
      <c r="P25" s="188"/>
      <c r="Q25" s="201"/>
      <c r="R25" s="202"/>
      <c r="S25" s="186">
        <v>249</v>
      </c>
      <c r="T25" s="185">
        <v>249</v>
      </c>
      <c r="U25" s="154">
        <v>249</v>
      </c>
      <c r="W25" s="188"/>
      <c r="X25" s="201"/>
      <c r="Y25" s="202"/>
      <c r="Z25" s="186">
        <v>365</v>
      </c>
      <c r="AA25" s="185">
        <v>365</v>
      </c>
      <c r="AB25" s="154">
        <v>365</v>
      </c>
      <c r="AC25" s="153"/>
      <c r="AD25" s="188"/>
      <c r="AE25" s="201"/>
      <c r="AF25" s="202"/>
      <c r="AG25" s="186">
        <v>536</v>
      </c>
      <c r="AH25" s="185">
        <v>536</v>
      </c>
      <c r="AI25" s="154">
        <v>536</v>
      </c>
      <c r="AJ25" s="153"/>
      <c r="AK25" s="188"/>
      <c r="AL25" s="201"/>
      <c r="AM25" s="202"/>
      <c r="AN25" s="186">
        <v>787</v>
      </c>
      <c r="AO25" s="185">
        <v>787</v>
      </c>
      <c r="AP25" s="154">
        <v>787</v>
      </c>
    </row>
    <row r="26" spans="2:42" x14ac:dyDescent="0.25">
      <c r="B26" s="188"/>
      <c r="C26" s="189"/>
      <c r="D26" s="191">
        <v>16</v>
      </c>
      <c r="E26" s="186"/>
      <c r="F26" s="185"/>
      <c r="G26" s="154">
        <v>117</v>
      </c>
      <c r="H26" s="153"/>
      <c r="I26" s="188"/>
      <c r="J26" s="189"/>
      <c r="K26" s="191">
        <v>16</v>
      </c>
      <c r="L26" s="186"/>
      <c r="M26" s="185"/>
      <c r="N26" s="154">
        <v>172</v>
      </c>
      <c r="O26" s="153"/>
      <c r="P26" s="188"/>
      <c r="Q26" s="201"/>
      <c r="R26" s="202"/>
      <c r="S26" s="186"/>
      <c r="T26" s="185"/>
      <c r="U26" s="154">
        <v>252</v>
      </c>
      <c r="W26" s="188"/>
      <c r="X26" s="201"/>
      <c r="Y26" s="202"/>
      <c r="Z26" s="186"/>
      <c r="AA26" s="185"/>
      <c r="AB26" s="154">
        <v>370</v>
      </c>
      <c r="AC26" s="153"/>
      <c r="AD26" s="188"/>
      <c r="AE26" s="201"/>
      <c r="AF26" s="202"/>
      <c r="AG26" s="186"/>
      <c r="AH26" s="185"/>
      <c r="AI26" s="154">
        <v>542</v>
      </c>
      <c r="AJ26" s="153"/>
      <c r="AK26" s="188"/>
      <c r="AL26" s="201"/>
      <c r="AM26" s="202"/>
      <c r="AN26" s="186"/>
      <c r="AO26" s="185"/>
      <c r="AP26" s="154">
        <v>796</v>
      </c>
    </row>
    <row r="27" spans="2:42" x14ac:dyDescent="0.25">
      <c r="B27" s="188"/>
      <c r="C27" s="189"/>
      <c r="D27" s="191">
        <v>18</v>
      </c>
      <c r="E27" s="186"/>
      <c r="F27" s="185">
        <v>118</v>
      </c>
      <c r="G27" s="154">
        <v>118</v>
      </c>
      <c r="H27" s="153"/>
      <c r="I27" s="188"/>
      <c r="J27" s="189"/>
      <c r="K27" s="191">
        <v>18</v>
      </c>
      <c r="L27" s="186"/>
      <c r="M27" s="185">
        <v>174</v>
      </c>
      <c r="N27" s="154">
        <v>174</v>
      </c>
      <c r="O27" s="153"/>
      <c r="P27" s="188"/>
      <c r="Q27" s="201"/>
      <c r="R27" s="202"/>
      <c r="S27" s="186"/>
      <c r="T27" s="185">
        <v>255</v>
      </c>
      <c r="U27" s="154">
        <v>255</v>
      </c>
      <c r="W27" s="188"/>
      <c r="X27" s="201"/>
      <c r="Y27" s="202"/>
      <c r="Z27" s="186"/>
      <c r="AA27" s="185">
        <v>374</v>
      </c>
      <c r="AB27" s="154">
        <v>374</v>
      </c>
      <c r="AC27" s="153"/>
      <c r="AD27" s="188"/>
      <c r="AE27" s="201"/>
      <c r="AF27" s="202"/>
      <c r="AG27" s="186"/>
      <c r="AH27" s="185">
        <v>549</v>
      </c>
      <c r="AI27" s="154">
        <v>549</v>
      </c>
      <c r="AJ27" s="153"/>
      <c r="AK27" s="188"/>
      <c r="AL27" s="201"/>
      <c r="AM27" s="202"/>
      <c r="AN27" s="186"/>
      <c r="AO27" s="185">
        <v>806</v>
      </c>
      <c r="AP27" s="154">
        <v>806</v>
      </c>
    </row>
    <row r="28" spans="2:42" x14ac:dyDescent="0.25">
      <c r="B28" s="188"/>
      <c r="C28" s="190"/>
      <c r="D28" s="192">
        <v>20</v>
      </c>
      <c r="E28" s="186"/>
      <c r="F28" s="185"/>
      <c r="G28" s="154">
        <v>120</v>
      </c>
      <c r="H28" s="153"/>
      <c r="I28" s="188"/>
      <c r="J28" s="190"/>
      <c r="K28" s="192">
        <v>20</v>
      </c>
      <c r="L28" s="186"/>
      <c r="M28" s="185"/>
      <c r="N28" s="154">
        <v>176</v>
      </c>
      <c r="O28" s="153"/>
      <c r="P28" s="188"/>
      <c r="Q28" s="201"/>
      <c r="R28" s="202"/>
      <c r="S28" s="186"/>
      <c r="T28" s="185"/>
      <c r="U28" s="154">
        <v>258</v>
      </c>
      <c r="W28" s="188"/>
      <c r="X28" s="201"/>
      <c r="Y28" s="202"/>
      <c r="Z28" s="186"/>
      <c r="AA28" s="185"/>
      <c r="AB28" s="154">
        <v>379</v>
      </c>
      <c r="AC28" s="153"/>
      <c r="AD28" s="188"/>
      <c r="AE28" s="201"/>
      <c r="AF28" s="202"/>
      <c r="AG28" s="186"/>
      <c r="AH28" s="185"/>
      <c r="AI28" s="154">
        <v>556</v>
      </c>
      <c r="AJ28" s="153"/>
      <c r="AK28" s="188"/>
      <c r="AL28" s="201"/>
      <c r="AM28" s="202"/>
      <c r="AN28" s="186"/>
      <c r="AO28" s="185"/>
      <c r="AP28" s="154">
        <v>816</v>
      </c>
    </row>
    <row r="29" spans="2:42" x14ac:dyDescent="0.25">
      <c r="B29" s="188"/>
      <c r="C29" s="203">
        <v>120</v>
      </c>
      <c r="D29" s="200">
        <v>120</v>
      </c>
      <c r="E29" s="186">
        <v>121</v>
      </c>
      <c r="F29" s="185">
        <v>121</v>
      </c>
      <c r="G29" s="154">
        <v>121</v>
      </c>
      <c r="H29" s="153"/>
      <c r="I29" s="188"/>
      <c r="J29" s="203">
        <v>180</v>
      </c>
      <c r="K29" s="200">
        <v>180</v>
      </c>
      <c r="L29" s="186">
        <v>178</v>
      </c>
      <c r="M29" s="185">
        <v>178</v>
      </c>
      <c r="N29" s="154">
        <v>178</v>
      </c>
      <c r="O29" s="153"/>
      <c r="P29" s="188"/>
      <c r="Q29" s="201">
        <v>270</v>
      </c>
      <c r="R29" s="202">
        <v>270</v>
      </c>
      <c r="S29" s="186">
        <v>261</v>
      </c>
      <c r="T29" s="185">
        <v>261</v>
      </c>
      <c r="U29" s="154">
        <v>261</v>
      </c>
      <c r="W29" s="188"/>
      <c r="X29" s="201">
        <v>390</v>
      </c>
      <c r="Y29" s="202">
        <v>390</v>
      </c>
      <c r="Z29" s="186">
        <v>383</v>
      </c>
      <c r="AA29" s="185">
        <v>383</v>
      </c>
      <c r="AB29" s="154">
        <v>383</v>
      </c>
      <c r="AC29" s="153"/>
      <c r="AD29" s="188"/>
      <c r="AE29" s="201">
        <v>560</v>
      </c>
      <c r="AF29" s="202">
        <v>560</v>
      </c>
      <c r="AG29" s="186">
        <v>562</v>
      </c>
      <c r="AH29" s="185">
        <v>562</v>
      </c>
      <c r="AI29" s="154">
        <v>562</v>
      </c>
      <c r="AJ29" s="153"/>
      <c r="AK29" s="188"/>
      <c r="AL29" s="201">
        <v>820</v>
      </c>
      <c r="AM29" s="202">
        <v>820</v>
      </c>
      <c r="AN29" s="186">
        <v>825</v>
      </c>
      <c r="AO29" s="185">
        <v>825</v>
      </c>
      <c r="AP29" s="154">
        <v>825</v>
      </c>
    </row>
    <row r="30" spans="2:42" x14ac:dyDescent="0.25">
      <c r="B30" s="188"/>
      <c r="C30" s="189"/>
      <c r="D30" s="191">
        <v>11</v>
      </c>
      <c r="E30" s="186"/>
      <c r="F30" s="185"/>
      <c r="G30" s="154">
        <v>123</v>
      </c>
      <c r="H30" s="153"/>
      <c r="I30" s="188"/>
      <c r="J30" s="189"/>
      <c r="K30" s="191">
        <v>11</v>
      </c>
      <c r="L30" s="186"/>
      <c r="M30" s="185"/>
      <c r="N30" s="154">
        <v>180</v>
      </c>
      <c r="O30" s="153"/>
      <c r="P30" s="188"/>
      <c r="Q30" s="201"/>
      <c r="R30" s="202"/>
      <c r="S30" s="186"/>
      <c r="T30" s="185"/>
      <c r="U30" s="154">
        <v>264</v>
      </c>
      <c r="W30" s="188"/>
      <c r="X30" s="201"/>
      <c r="Y30" s="202"/>
      <c r="Z30" s="186"/>
      <c r="AA30" s="185"/>
      <c r="AB30" s="154">
        <v>388</v>
      </c>
      <c r="AC30" s="153"/>
      <c r="AD30" s="188"/>
      <c r="AE30" s="201"/>
      <c r="AF30" s="202"/>
      <c r="AG30" s="186"/>
      <c r="AH30" s="185"/>
      <c r="AI30" s="154">
        <v>569</v>
      </c>
      <c r="AJ30" s="153"/>
      <c r="AK30" s="188"/>
      <c r="AL30" s="201"/>
      <c r="AM30" s="202"/>
      <c r="AN30" s="186"/>
      <c r="AO30" s="185"/>
      <c r="AP30" s="154">
        <v>835</v>
      </c>
    </row>
    <row r="31" spans="2:42" x14ac:dyDescent="0.25">
      <c r="B31" s="188"/>
      <c r="C31" s="189"/>
      <c r="D31" s="191">
        <v>12</v>
      </c>
      <c r="E31" s="186"/>
      <c r="F31" s="185">
        <v>124</v>
      </c>
      <c r="G31" s="154">
        <v>124</v>
      </c>
      <c r="H31" s="153"/>
      <c r="I31" s="188"/>
      <c r="J31" s="189"/>
      <c r="K31" s="191">
        <v>12</v>
      </c>
      <c r="L31" s="186"/>
      <c r="M31" s="185">
        <v>182</v>
      </c>
      <c r="N31" s="154">
        <v>182</v>
      </c>
      <c r="O31" s="153"/>
      <c r="P31" s="188"/>
      <c r="Q31" s="201"/>
      <c r="R31" s="202"/>
      <c r="S31" s="186"/>
      <c r="T31" s="185">
        <v>267</v>
      </c>
      <c r="U31" s="154">
        <v>267</v>
      </c>
      <c r="W31" s="188"/>
      <c r="X31" s="201"/>
      <c r="Y31" s="202"/>
      <c r="Z31" s="186"/>
      <c r="AA31" s="185">
        <v>392</v>
      </c>
      <c r="AB31" s="154">
        <v>392</v>
      </c>
      <c r="AC31" s="153"/>
      <c r="AD31" s="188"/>
      <c r="AE31" s="201"/>
      <c r="AF31" s="202"/>
      <c r="AG31" s="186"/>
      <c r="AH31" s="185">
        <v>576</v>
      </c>
      <c r="AI31" s="154">
        <v>576</v>
      </c>
      <c r="AJ31" s="153"/>
      <c r="AK31" s="188"/>
      <c r="AL31" s="201"/>
      <c r="AM31" s="202"/>
      <c r="AN31" s="186"/>
      <c r="AO31" s="185">
        <v>845</v>
      </c>
      <c r="AP31" s="154">
        <v>845</v>
      </c>
    </row>
    <row r="32" spans="2:42" x14ac:dyDescent="0.25">
      <c r="B32" s="188"/>
      <c r="C32" s="189"/>
      <c r="D32" s="191">
        <v>13</v>
      </c>
      <c r="E32" s="186"/>
      <c r="F32" s="185"/>
      <c r="G32" s="154">
        <v>126</v>
      </c>
      <c r="H32" s="153"/>
      <c r="I32" s="188"/>
      <c r="J32" s="189"/>
      <c r="K32" s="191">
        <v>13</v>
      </c>
      <c r="L32" s="186"/>
      <c r="M32" s="185"/>
      <c r="N32" s="154">
        <v>184</v>
      </c>
      <c r="O32" s="153"/>
      <c r="P32" s="188"/>
      <c r="Q32" s="201"/>
      <c r="R32" s="202"/>
      <c r="S32" s="186"/>
      <c r="T32" s="185"/>
      <c r="U32" s="154">
        <v>271</v>
      </c>
      <c r="W32" s="188"/>
      <c r="X32" s="201"/>
      <c r="Y32" s="202"/>
      <c r="Z32" s="186"/>
      <c r="AA32" s="185"/>
      <c r="AB32" s="154">
        <v>397</v>
      </c>
      <c r="AC32" s="153"/>
      <c r="AD32" s="188"/>
      <c r="AE32" s="201"/>
      <c r="AF32" s="202"/>
      <c r="AG32" s="186"/>
      <c r="AH32" s="185"/>
      <c r="AI32" s="154">
        <v>583</v>
      </c>
      <c r="AJ32" s="153"/>
      <c r="AK32" s="188"/>
      <c r="AL32" s="201"/>
      <c r="AM32" s="202"/>
      <c r="AN32" s="186"/>
      <c r="AO32" s="185"/>
      <c r="AP32" s="154">
        <v>856</v>
      </c>
    </row>
    <row r="33" spans="1:42" x14ac:dyDescent="0.25">
      <c r="B33" s="188"/>
      <c r="C33" s="189"/>
      <c r="D33" s="191">
        <v>15</v>
      </c>
      <c r="E33" s="186">
        <v>127</v>
      </c>
      <c r="F33" s="185">
        <v>127</v>
      </c>
      <c r="G33" s="154">
        <v>127</v>
      </c>
      <c r="H33" s="153"/>
      <c r="I33" s="188"/>
      <c r="J33" s="189"/>
      <c r="K33" s="191">
        <v>15</v>
      </c>
      <c r="L33" s="186">
        <v>187</v>
      </c>
      <c r="M33" s="185">
        <v>187</v>
      </c>
      <c r="N33" s="154">
        <v>187</v>
      </c>
      <c r="O33" s="153"/>
      <c r="P33" s="188"/>
      <c r="Q33" s="201"/>
      <c r="R33" s="202"/>
      <c r="S33" s="186">
        <v>274</v>
      </c>
      <c r="T33" s="185">
        <v>274</v>
      </c>
      <c r="U33" s="154">
        <v>274</v>
      </c>
      <c r="W33" s="188"/>
      <c r="X33" s="201"/>
      <c r="Y33" s="202"/>
      <c r="Z33" s="186">
        <v>402</v>
      </c>
      <c r="AA33" s="185">
        <v>402</v>
      </c>
      <c r="AB33" s="154">
        <v>402</v>
      </c>
      <c r="AC33" s="153"/>
      <c r="AD33" s="188"/>
      <c r="AE33" s="201"/>
      <c r="AF33" s="202"/>
      <c r="AG33" s="186">
        <v>590</v>
      </c>
      <c r="AH33" s="185">
        <v>590</v>
      </c>
      <c r="AI33" s="154">
        <v>590</v>
      </c>
      <c r="AJ33" s="153"/>
      <c r="AK33" s="188"/>
      <c r="AL33" s="201"/>
      <c r="AM33" s="202"/>
      <c r="AN33" s="186">
        <v>866</v>
      </c>
      <c r="AO33" s="185">
        <v>866</v>
      </c>
      <c r="AP33" s="154">
        <v>866</v>
      </c>
    </row>
    <row r="34" spans="1:42" x14ac:dyDescent="0.25">
      <c r="B34" s="188"/>
      <c r="C34" s="189"/>
      <c r="D34" s="191">
        <v>16</v>
      </c>
      <c r="E34" s="186"/>
      <c r="F34" s="185"/>
      <c r="G34" s="154">
        <v>129</v>
      </c>
      <c r="H34" s="153"/>
      <c r="I34" s="188"/>
      <c r="J34" s="189"/>
      <c r="K34" s="191">
        <v>16</v>
      </c>
      <c r="L34" s="186"/>
      <c r="M34" s="185"/>
      <c r="N34" s="154">
        <v>189</v>
      </c>
      <c r="O34" s="153"/>
      <c r="P34" s="188"/>
      <c r="Q34" s="201"/>
      <c r="R34" s="202"/>
      <c r="S34" s="186"/>
      <c r="T34" s="185"/>
      <c r="U34" s="154">
        <v>277</v>
      </c>
      <c r="W34" s="188"/>
      <c r="X34" s="201"/>
      <c r="Y34" s="202"/>
      <c r="Z34" s="186"/>
      <c r="AA34" s="185"/>
      <c r="AB34" s="154">
        <v>407</v>
      </c>
      <c r="AC34" s="153"/>
      <c r="AD34" s="188"/>
      <c r="AE34" s="201"/>
      <c r="AF34" s="202"/>
      <c r="AG34" s="186"/>
      <c r="AH34" s="185"/>
      <c r="AI34" s="154">
        <v>597</v>
      </c>
      <c r="AJ34" s="153"/>
      <c r="AK34" s="188"/>
      <c r="AL34" s="201"/>
      <c r="AM34" s="202"/>
      <c r="AN34" s="186"/>
      <c r="AO34" s="185"/>
      <c r="AP34" s="154">
        <v>876</v>
      </c>
    </row>
    <row r="35" spans="1:42" x14ac:dyDescent="0.25">
      <c r="B35" s="188"/>
      <c r="C35" s="189"/>
      <c r="D35" s="191">
        <v>18</v>
      </c>
      <c r="E35" s="186"/>
      <c r="F35" s="185">
        <v>130</v>
      </c>
      <c r="G35" s="154">
        <v>130</v>
      </c>
      <c r="H35" s="153"/>
      <c r="I35" s="188"/>
      <c r="J35" s="189"/>
      <c r="K35" s="191">
        <v>18</v>
      </c>
      <c r="L35" s="186"/>
      <c r="M35" s="185">
        <v>191</v>
      </c>
      <c r="N35" s="154">
        <v>191</v>
      </c>
      <c r="O35" s="153"/>
      <c r="P35" s="188"/>
      <c r="Q35" s="201"/>
      <c r="R35" s="202"/>
      <c r="S35" s="186"/>
      <c r="T35" s="185">
        <v>280</v>
      </c>
      <c r="U35" s="154">
        <v>280</v>
      </c>
      <c r="W35" s="188"/>
      <c r="X35" s="201"/>
      <c r="Y35" s="202"/>
      <c r="Z35" s="186"/>
      <c r="AA35" s="185">
        <v>412</v>
      </c>
      <c r="AB35" s="154">
        <v>412</v>
      </c>
      <c r="AC35" s="153"/>
      <c r="AD35" s="188"/>
      <c r="AE35" s="201"/>
      <c r="AF35" s="202"/>
      <c r="AG35" s="186"/>
      <c r="AH35" s="185">
        <v>604</v>
      </c>
      <c r="AI35" s="154">
        <v>604</v>
      </c>
      <c r="AJ35" s="153"/>
      <c r="AK35" s="188"/>
      <c r="AL35" s="201"/>
      <c r="AM35" s="202"/>
      <c r="AN35" s="186"/>
      <c r="AO35" s="185">
        <v>887</v>
      </c>
      <c r="AP35" s="154">
        <v>887</v>
      </c>
    </row>
    <row r="36" spans="1:42" x14ac:dyDescent="0.25">
      <c r="B36" s="188"/>
      <c r="C36" s="189"/>
      <c r="D36" s="192">
        <v>20</v>
      </c>
      <c r="E36" s="186"/>
      <c r="F36" s="185"/>
      <c r="G36" s="154">
        <v>132</v>
      </c>
      <c r="H36" s="153"/>
      <c r="I36" s="188"/>
      <c r="J36" s="189"/>
      <c r="K36" s="192">
        <v>20</v>
      </c>
      <c r="L36" s="186"/>
      <c r="M36" s="185"/>
      <c r="N36" s="154">
        <v>193</v>
      </c>
      <c r="O36" s="153"/>
      <c r="P36" s="188"/>
      <c r="Q36" s="201"/>
      <c r="R36" s="202"/>
      <c r="S36" s="186"/>
      <c r="T36" s="185"/>
      <c r="U36" s="154">
        <v>284</v>
      </c>
      <c r="W36" s="188"/>
      <c r="X36" s="201"/>
      <c r="Y36" s="202"/>
      <c r="Z36" s="186"/>
      <c r="AA36" s="185"/>
      <c r="AB36" s="154">
        <v>417</v>
      </c>
      <c r="AC36" s="153"/>
      <c r="AD36" s="188"/>
      <c r="AE36" s="201"/>
      <c r="AF36" s="202"/>
      <c r="AG36" s="186"/>
      <c r="AH36" s="185"/>
      <c r="AI36" s="154">
        <v>612</v>
      </c>
      <c r="AJ36" s="153"/>
      <c r="AK36" s="188"/>
      <c r="AL36" s="201"/>
      <c r="AM36" s="202"/>
      <c r="AN36" s="186"/>
      <c r="AO36" s="185"/>
      <c r="AP36" s="154">
        <v>898</v>
      </c>
    </row>
    <row r="37" spans="1:42" x14ac:dyDescent="0.25">
      <c r="B37" s="188"/>
      <c r="C37" s="189"/>
      <c r="D37" s="200">
        <v>130</v>
      </c>
      <c r="E37" s="186">
        <v>133</v>
      </c>
      <c r="F37" s="185">
        <v>133</v>
      </c>
      <c r="G37" s="154">
        <v>133</v>
      </c>
      <c r="H37" s="153"/>
      <c r="I37" s="188"/>
      <c r="J37" s="189"/>
      <c r="K37" s="200">
        <v>200</v>
      </c>
      <c r="L37" s="186">
        <v>196</v>
      </c>
      <c r="M37" s="185">
        <v>196</v>
      </c>
      <c r="N37" s="154">
        <v>196</v>
      </c>
      <c r="O37" s="153"/>
      <c r="P37" s="188"/>
      <c r="Q37" s="201"/>
      <c r="R37" s="202">
        <v>300</v>
      </c>
      <c r="S37" s="186">
        <v>287</v>
      </c>
      <c r="T37" s="185">
        <v>287</v>
      </c>
      <c r="U37" s="154">
        <v>287</v>
      </c>
      <c r="W37" s="188"/>
      <c r="X37" s="201"/>
      <c r="Y37" s="202">
        <v>430</v>
      </c>
      <c r="Z37" s="186">
        <v>422</v>
      </c>
      <c r="AA37" s="185">
        <v>422</v>
      </c>
      <c r="AB37" s="154">
        <v>422</v>
      </c>
      <c r="AC37" s="153"/>
      <c r="AD37" s="188"/>
      <c r="AE37" s="201"/>
      <c r="AF37" s="202">
        <v>620</v>
      </c>
      <c r="AG37" s="186">
        <v>619</v>
      </c>
      <c r="AH37" s="185">
        <v>619</v>
      </c>
      <c r="AI37" s="154">
        <v>619</v>
      </c>
      <c r="AJ37" s="153"/>
      <c r="AK37" s="188"/>
      <c r="AL37" s="201"/>
      <c r="AM37" s="202">
        <v>910</v>
      </c>
      <c r="AN37" s="186">
        <v>909</v>
      </c>
      <c r="AO37" s="185">
        <v>909</v>
      </c>
      <c r="AP37" s="154">
        <v>909</v>
      </c>
    </row>
    <row r="38" spans="1:42" x14ac:dyDescent="0.25">
      <c r="B38" s="188"/>
      <c r="C38" s="189"/>
      <c r="D38" s="191">
        <v>11</v>
      </c>
      <c r="E38" s="186"/>
      <c r="F38" s="185"/>
      <c r="G38" s="154">
        <v>135</v>
      </c>
      <c r="H38" s="153"/>
      <c r="I38" s="188"/>
      <c r="J38" s="189"/>
      <c r="K38" s="191">
        <v>11</v>
      </c>
      <c r="L38" s="186"/>
      <c r="M38" s="185"/>
      <c r="N38" s="154">
        <v>198</v>
      </c>
      <c r="O38" s="153"/>
      <c r="P38" s="188"/>
      <c r="Q38" s="201"/>
      <c r="R38" s="202"/>
      <c r="S38" s="186"/>
      <c r="T38" s="185"/>
      <c r="U38" s="154">
        <v>291</v>
      </c>
      <c r="W38" s="188"/>
      <c r="X38" s="201"/>
      <c r="Y38" s="202"/>
      <c r="Z38" s="186"/>
      <c r="AA38" s="185"/>
      <c r="AB38" s="154">
        <v>427</v>
      </c>
      <c r="AC38" s="153"/>
      <c r="AD38" s="188"/>
      <c r="AE38" s="201"/>
      <c r="AF38" s="202"/>
      <c r="AG38" s="186"/>
      <c r="AH38" s="185"/>
      <c r="AI38" s="154">
        <v>626</v>
      </c>
      <c r="AJ38" s="153"/>
      <c r="AK38" s="188"/>
      <c r="AL38" s="201"/>
      <c r="AM38" s="202"/>
      <c r="AN38" s="186"/>
      <c r="AO38" s="185"/>
      <c r="AP38" s="154">
        <v>920</v>
      </c>
    </row>
    <row r="39" spans="1:42" x14ac:dyDescent="0.25">
      <c r="B39" s="188"/>
      <c r="C39" s="189"/>
      <c r="D39" s="191">
        <v>12</v>
      </c>
      <c r="E39" s="186"/>
      <c r="F39" s="185">
        <v>137</v>
      </c>
      <c r="G39" s="154">
        <v>137</v>
      </c>
      <c r="H39" s="153"/>
      <c r="I39" s="188"/>
      <c r="J39" s="189"/>
      <c r="K39" s="191">
        <v>12</v>
      </c>
      <c r="L39" s="186"/>
      <c r="M39" s="185">
        <v>200</v>
      </c>
      <c r="N39" s="154">
        <v>200</v>
      </c>
      <c r="O39" s="153"/>
      <c r="P39" s="188"/>
      <c r="Q39" s="201"/>
      <c r="R39" s="202"/>
      <c r="S39" s="186"/>
      <c r="T39" s="185">
        <v>294</v>
      </c>
      <c r="U39" s="154">
        <v>294</v>
      </c>
      <c r="W39" s="188"/>
      <c r="X39" s="201"/>
      <c r="Y39" s="202"/>
      <c r="Z39" s="186"/>
      <c r="AA39" s="185">
        <v>432</v>
      </c>
      <c r="AB39" s="154">
        <v>432</v>
      </c>
      <c r="AC39" s="153"/>
      <c r="AD39" s="188"/>
      <c r="AE39" s="201"/>
      <c r="AF39" s="202"/>
      <c r="AG39" s="186"/>
      <c r="AH39" s="185">
        <v>634</v>
      </c>
      <c r="AI39" s="154">
        <v>634</v>
      </c>
      <c r="AJ39" s="153"/>
      <c r="AK39" s="188"/>
      <c r="AL39" s="201"/>
      <c r="AM39" s="202"/>
      <c r="AN39" s="186"/>
      <c r="AO39" s="185">
        <v>931</v>
      </c>
      <c r="AP39" s="154">
        <v>931</v>
      </c>
    </row>
    <row r="40" spans="1:42" x14ac:dyDescent="0.25">
      <c r="B40" s="188"/>
      <c r="C40" s="189"/>
      <c r="D40" s="191">
        <v>13</v>
      </c>
      <c r="E40" s="186"/>
      <c r="F40" s="185"/>
      <c r="G40" s="154">
        <v>138</v>
      </c>
      <c r="H40" s="153"/>
      <c r="I40" s="188"/>
      <c r="J40" s="189"/>
      <c r="K40" s="191">
        <v>13</v>
      </c>
      <c r="L40" s="186"/>
      <c r="M40" s="185"/>
      <c r="N40" s="154">
        <v>203</v>
      </c>
      <c r="O40" s="153"/>
      <c r="P40" s="188"/>
      <c r="Q40" s="201"/>
      <c r="R40" s="202"/>
      <c r="S40" s="186"/>
      <c r="T40" s="185"/>
      <c r="U40" s="154">
        <v>298</v>
      </c>
      <c r="W40" s="188"/>
      <c r="X40" s="201"/>
      <c r="Y40" s="202"/>
      <c r="Z40" s="186"/>
      <c r="AA40" s="185"/>
      <c r="AB40" s="154">
        <v>437</v>
      </c>
      <c r="AC40" s="153"/>
      <c r="AD40" s="188"/>
      <c r="AE40" s="201"/>
      <c r="AF40" s="202"/>
      <c r="AG40" s="186"/>
      <c r="AH40" s="185"/>
      <c r="AI40" s="154">
        <v>643</v>
      </c>
      <c r="AJ40" s="153"/>
      <c r="AK40" s="188"/>
      <c r="AL40" s="201"/>
      <c r="AM40" s="202"/>
      <c r="AN40" s="186"/>
      <c r="AO40" s="185"/>
      <c r="AP40" s="154">
        <v>942</v>
      </c>
    </row>
    <row r="41" spans="1:42" x14ac:dyDescent="0.25">
      <c r="B41" s="188"/>
      <c r="C41" s="189"/>
      <c r="D41" s="191">
        <v>15</v>
      </c>
      <c r="E41" s="186">
        <v>140</v>
      </c>
      <c r="F41" s="185">
        <v>140</v>
      </c>
      <c r="G41" s="154">
        <v>140</v>
      </c>
      <c r="H41" s="153"/>
      <c r="I41" s="188"/>
      <c r="J41" s="189"/>
      <c r="K41" s="191">
        <v>15</v>
      </c>
      <c r="L41" s="186">
        <v>205</v>
      </c>
      <c r="M41" s="185">
        <v>205</v>
      </c>
      <c r="N41" s="154">
        <v>205</v>
      </c>
      <c r="O41" s="153"/>
      <c r="P41" s="188"/>
      <c r="Q41" s="201"/>
      <c r="R41" s="202"/>
      <c r="S41" s="186">
        <v>301</v>
      </c>
      <c r="T41" s="185">
        <v>301</v>
      </c>
      <c r="U41" s="154">
        <v>301</v>
      </c>
      <c r="W41" s="188"/>
      <c r="X41" s="201"/>
      <c r="Y41" s="202"/>
      <c r="Z41" s="186">
        <v>442</v>
      </c>
      <c r="AA41" s="185">
        <v>442</v>
      </c>
      <c r="AB41" s="154">
        <v>442</v>
      </c>
      <c r="AC41" s="153"/>
      <c r="AD41" s="188"/>
      <c r="AE41" s="201"/>
      <c r="AF41" s="202"/>
      <c r="AG41" s="186">
        <v>649</v>
      </c>
      <c r="AH41" s="185">
        <v>649</v>
      </c>
      <c r="AI41" s="154">
        <v>649</v>
      </c>
      <c r="AJ41" s="153"/>
      <c r="AK41" s="188"/>
      <c r="AL41" s="201"/>
      <c r="AM41" s="202"/>
      <c r="AN41" s="186">
        <v>953</v>
      </c>
      <c r="AO41" s="185">
        <v>953</v>
      </c>
      <c r="AP41" s="154">
        <v>953</v>
      </c>
    </row>
    <row r="42" spans="1:42" x14ac:dyDescent="0.25">
      <c r="B42" s="188"/>
      <c r="C42" s="189"/>
      <c r="D42" s="191">
        <v>16</v>
      </c>
      <c r="E42" s="186"/>
      <c r="F42" s="185"/>
      <c r="G42" s="154">
        <v>142</v>
      </c>
      <c r="H42" s="153"/>
      <c r="I42" s="188"/>
      <c r="J42" s="189"/>
      <c r="K42" s="191">
        <v>16</v>
      </c>
      <c r="L42" s="186"/>
      <c r="M42" s="185"/>
      <c r="N42" s="154">
        <v>208</v>
      </c>
      <c r="O42" s="153"/>
      <c r="P42" s="188"/>
      <c r="Q42" s="201"/>
      <c r="R42" s="202"/>
      <c r="S42" s="186"/>
      <c r="T42" s="185"/>
      <c r="U42" s="154">
        <v>305</v>
      </c>
      <c r="W42" s="188"/>
      <c r="X42" s="201"/>
      <c r="Y42" s="202"/>
      <c r="Z42" s="186"/>
      <c r="AA42" s="185"/>
      <c r="AB42" s="154">
        <v>448</v>
      </c>
      <c r="AC42" s="153"/>
      <c r="AD42" s="188"/>
      <c r="AE42" s="201"/>
      <c r="AF42" s="202"/>
      <c r="AG42" s="186"/>
      <c r="AH42" s="185"/>
      <c r="AI42" s="154">
        <v>657</v>
      </c>
      <c r="AJ42" s="153"/>
      <c r="AK42" s="188"/>
      <c r="AL42" s="201"/>
      <c r="AM42" s="202"/>
      <c r="AN42" s="186"/>
      <c r="AO42" s="185"/>
      <c r="AP42" s="154">
        <v>965</v>
      </c>
    </row>
    <row r="43" spans="1:42" x14ac:dyDescent="0.25">
      <c r="B43" s="188"/>
      <c r="C43" s="189"/>
      <c r="D43" s="191">
        <v>18</v>
      </c>
      <c r="E43" s="186"/>
      <c r="F43" s="185">
        <v>143</v>
      </c>
      <c r="G43" s="154">
        <v>143</v>
      </c>
      <c r="H43" s="153"/>
      <c r="I43" s="188"/>
      <c r="J43" s="189"/>
      <c r="K43" s="191">
        <v>18</v>
      </c>
      <c r="L43" s="186"/>
      <c r="M43" s="185">
        <v>210</v>
      </c>
      <c r="N43" s="154">
        <v>210</v>
      </c>
      <c r="O43" s="153"/>
      <c r="P43" s="188"/>
      <c r="Q43" s="201"/>
      <c r="R43" s="202"/>
      <c r="S43" s="186"/>
      <c r="T43" s="185">
        <v>309</v>
      </c>
      <c r="U43" s="154">
        <v>309</v>
      </c>
      <c r="W43" s="188"/>
      <c r="X43" s="201"/>
      <c r="Y43" s="202"/>
      <c r="Z43" s="186"/>
      <c r="AA43" s="185">
        <v>453</v>
      </c>
      <c r="AB43" s="154">
        <v>453</v>
      </c>
      <c r="AC43" s="153"/>
      <c r="AD43" s="188"/>
      <c r="AE43" s="201"/>
      <c r="AF43" s="202"/>
      <c r="AG43" s="186"/>
      <c r="AH43" s="185">
        <v>665</v>
      </c>
      <c r="AI43" s="154">
        <v>665</v>
      </c>
      <c r="AJ43" s="153"/>
      <c r="AK43" s="188"/>
      <c r="AL43" s="201"/>
      <c r="AM43" s="202"/>
      <c r="AN43" s="186"/>
      <c r="AO43" s="185">
        <v>976</v>
      </c>
      <c r="AP43" s="154">
        <v>976</v>
      </c>
    </row>
    <row r="44" spans="1:42" x14ac:dyDescent="0.25">
      <c r="B44" s="188"/>
      <c r="C44" s="190"/>
      <c r="D44" s="192">
        <v>20</v>
      </c>
      <c r="E44" s="186"/>
      <c r="F44" s="185"/>
      <c r="G44" s="154">
        <v>145</v>
      </c>
      <c r="H44" s="153"/>
      <c r="I44" s="188"/>
      <c r="J44" s="190"/>
      <c r="K44" s="192">
        <v>20</v>
      </c>
      <c r="L44" s="186"/>
      <c r="M44" s="185"/>
      <c r="N44" s="154">
        <v>213</v>
      </c>
      <c r="O44" s="153"/>
      <c r="P44" s="188"/>
      <c r="Q44" s="201"/>
      <c r="R44" s="202"/>
      <c r="S44" s="186"/>
      <c r="T44" s="185"/>
      <c r="U44" s="154">
        <v>312</v>
      </c>
      <c r="W44" s="188"/>
      <c r="X44" s="201"/>
      <c r="Y44" s="202"/>
      <c r="Z44" s="186"/>
      <c r="AA44" s="185"/>
      <c r="AB44" s="154">
        <v>459</v>
      </c>
      <c r="AC44" s="153"/>
      <c r="AD44" s="188"/>
      <c r="AE44" s="201"/>
      <c r="AF44" s="202"/>
      <c r="AG44" s="186"/>
      <c r="AH44" s="185"/>
      <c r="AI44" s="154">
        <v>673</v>
      </c>
      <c r="AJ44" s="153"/>
      <c r="AK44" s="188"/>
      <c r="AL44" s="201"/>
      <c r="AM44" s="202"/>
      <c r="AN44" s="186"/>
      <c r="AO44" s="185"/>
      <c r="AP44" s="154">
        <v>988</v>
      </c>
    </row>
    <row r="45" spans="1:42" x14ac:dyDescent="0.25">
      <c r="A45" s="141"/>
      <c r="B45" s="141"/>
      <c r="C45" s="141"/>
      <c r="D45" s="141"/>
      <c r="E45" s="141"/>
      <c r="F45" s="141"/>
      <c r="G45" s="141"/>
      <c r="H45" s="141"/>
      <c r="I45" s="141"/>
      <c r="J45" s="141"/>
      <c r="K45" s="141"/>
      <c r="L45" s="141"/>
      <c r="M45" s="141"/>
      <c r="N45" s="141"/>
      <c r="O45" s="141"/>
      <c r="P45" s="141"/>
      <c r="Q45" s="141"/>
      <c r="R45" s="141"/>
      <c r="S45" s="141"/>
      <c r="T45" s="141"/>
      <c r="U45" s="141"/>
    </row>
    <row r="46" spans="1:42" x14ac:dyDescent="0.25">
      <c r="A46" s="141"/>
      <c r="B46" s="141"/>
      <c r="C46" s="141"/>
      <c r="D46" s="141"/>
      <c r="E46" s="141"/>
      <c r="F46" s="141"/>
      <c r="G46" s="141"/>
      <c r="H46" s="141"/>
      <c r="I46" s="141"/>
      <c r="J46" s="141"/>
      <c r="K46" s="141"/>
      <c r="L46" s="141"/>
      <c r="M46" s="141"/>
      <c r="N46" s="141"/>
      <c r="O46" s="141"/>
      <c r="P46" s="141"/>
      <c r="Q46" s="141"/>
      <c r="R46" s="141"/>
      <c r="S46" s="141"/>
      <c r="T46" s="141"/>
      <c r="U46" s="141"/>
    </row>
    <row r="47" spans="1:42" x14ac:dyDescent="0.25">
      <c r="A47" s="141"/>
      <c r="B47" s="141"/>
      <c r="C47" s="141"/>
      <c r="D47" s="141"/>
      <c r="E47" s="141"/>
      <c r="F47" s="141"/>
      <c r="G47" s="141"/>
      <c r="H47" s="141"/>
      <c r="I47" s="141"/>
      <c r="J47" s="141"/>
      <c r="K47" s="141"/>
      <c r="L47" s="141"/>
      <c r="M47" s="141"/>
      <c r="N47" s="141"/>
      <c r="O47" s="141"/>
      <c r="P47" s="141"/>
      <c r="Q47" s="141"/>
      <c r="R47" s="141"/>
      <c r="S47" s="141"/>
      <c r="T47" s="141"/>
      <c r="U47" s="141"/>
    </row>
    <row r="48" spans="1:42" x14ac:dyDescent="0.25">
      <c r="A48" s="141"/>
      <c r="B48" s="141"/>
      <c r="C48" s="141"/>
      <c r="D48" s="141"/>
      <c r="E48" s="141"/>
      <c r="F48" s="141"/>
      <c r="G48" s="141"/>
      <c r="H48" s="141"/>
      <c r="I48" s="141"/>
      <c r="J48" s="141"/>
      <c r="K48" s="141"/>
      <c r="L48" s="141"/>
      <c r="M48" s="141"/>
      <c r="N48" s="141"/>
      <c r="O48" s="141"/>
      <c r="P48" s="141"/>
      <c r="Q48" s="141"/>
      <c r="R48" s="141"/>
      <c r="S48" s="141"/>
      <c r="T48" s="141"/>
      <c r="U48" s="141"/>
    </row>
    <row r="49" spans="1:21" x14ac:dyDescent="0.25">
      <c r="A49" s="141"/>
      <c r="B49" s="141"/>
      <c r="C49" s="141"/>
      <c r="D49" s="141"/>
      <c r="E49" s="141"/>
      <c r="F49" s="141"/>
      <c r="G49" s="141"/>
      <c r="H49" s="141"/>
      <c r="I49" s="141"/>
      <c r="J49" s="141"/>
      <c r="K49" s="141"/>
      <c r="L49" s="141"/>
      <c r="M49" s="141"/>
      <c r="N49" s="141"/>
      <c r="O49" s="141"/>
      <c r="P49" s="141"/>
      <c r="Q49" s="141"/>
      <c r="R49" s="141"/>
      <c r="S49" s="141"/>
      <c r="T49" s="141"/>
      <c r="U49" s="141"/>
    </row>
    <row r="50" spans="1:21" x14ac:dyDescent="0.25">
      <c r="A50" s="141"/>
      <c r="B50" s="141"/>
      <c r="C50" s="141"/>
      <c r="D50" s="141"/>
      <c r="E50" s="141"/>
      <c r="F50" s="141"/>
      <c r="G50" s="141"/>
      <c r="H50" s="141"/>
      <c r="I50" s="141"/>
      <c r="J50" s="141"/>
      <c r="K50" s="141"/>
      <c r="L50" s="141"/>
      <c r="M50" s="141"/>
      <c r="N50" s="141"/>
      <c r="O50" s="141"/>
      <c r="P50" s="141"/>
      <c r="Q50" s="141"/>
      <c r="R50" s="141"/>
      <c r="S50" s="141"/>
      <c r="T50" s="141"/>
      <c r="U50" s="141"/>
    </row>
    <row r="51" spans="1:21" x14ac:dyDescent="0.25">
      <c r="A51" s="141"/>
      <c r="B51" s="141"/>
      <c r="C51" s="141"/>
      <c r="D51" s="141"/>
      <c r="E51" s="141"/>
      <c r="F51" s="141"/>
      <c r="G51" s="141"/>
      <c r="H51" s="141"/>
      <c r="I51" s="141"/>
      <c r="J51" s="141"/>
      <c r="K51" s="141"/>
      <c r="L51" s="141"/>
      <c r="M51" s="141"/>
      <c r="N51" s="141"/>
      <c r="O51" s="141"/>
      <c r="P51" s="141"/>
      <c r="Q51" s="141"/>
      <c r="R51" s="141"/>
      <c r="S51" s="141"/>
      <c r="T51" s="141"/>
      <c r="U51" s="141"/>
    </row>
    <row r="52" spans="1:21" x14ac:dyDescent="0.25">
      <c r="A52" s="141"/>
      <c r="B52" s="141"/>
      <c r="C52" s="141"/>
      <c r="D52" s="141"/>
      <c r="E52" s="141"/>
      <c r="F52" s="141"/>
      <c r="G52" s="141"/>
      <c r="H52" s="141"/>
      <c r="I52" s="141"/>
      <c r="J52" s="141"/>
      <c r="K52" s="141"/>
      <c r="L52" s="141"/>
      <c r="M52" s="141"/>
      <c r="N52" s="141"/>
      <c r="O52" s="141"/>
      <c r="P52" s="141"/>
      <c r="Q52" s="141"/>
      <c r="R52" s="141"/>
      <c r="S52" s="141"/>
      <c r="T52" s="141"/>
      <c r="U52" s="141"/>
    </row>
    <row r="53" spans="1:21" x14ac:dyDescent="0.25">
      <c r="A53" s="141"/>
      <c r="B53" s="141"/>
      <c r="C53" s="141"/>
      <c r="D53" s="141"/>
      <c r="E53" s="141"/>
      <c r="F53" s="141"/>
      <c r="G53" s="141"/>
      <c r="H53" s="141"/>
      <c r="I53" s="141"/>
      <c r="J53" s="141"/>
      <c r="K53" s="141"/>
      <c r="L53" s="141"/>
      <c r="M53" s="141"/>
      <c r="N53" s="141"/>
      <c r="O53" s="141"/>
      <c r="P53" s="141"/>
      <c r="Q53" s="141"/>
      <c r="R53" s="141"/>
      <c r="S53" s="141"/>
      <c r="T53" s="141"/>
      <c r="U53" s="141"/>
    </row>
    <row r="54" spans="1:21" x14ac:dyDescent="0.25">
      <c r="A54" s="141"/>
      <c r="B54" s="141"/>
      <c r="C54" s="141"/>
      <c r="D54" s="141"/>
      <c r="E54" s="141"/>
      <c r="F54" s="141"/>
      <c r="G54" s="141"/>
      <c r="H54" s="141"/>
      <c r="I54" s="141"/>
      <c r="J54" s="141"/>
      <c r="K54" s="141"/>
      <c r="L54" s="141"/>
      <c r="M54" s="141"/>
      <c r="N54" s="141"/>
      <c r="O54" s="141"/>
      <c r="P54" s="141"/>
      <c r="Q54" s="141"/>
      <c r="R54" s="141"/>
      <c r="S54" s="141"/>
      <c r="T54" s="141"/>
      <c r="U54" s="141"/>
    </row>
    <row r="55" spans="1:21" x14ac:dyDescent="0.25">
      <c r="A55" s="141"/>
      <c r="B55" s="141"/>
      <c r="C55" s="141"/>
      <c r="D55" s="141"/>
      <c r="E55" s="141"/>
      <c r="F55" s="141"/>
      <c r="G55" s="141"/>
      <c r="H55" s="141"/>
      <c r="I55" s="141"/>
      <c r="J55" s="141"/>
      <c r="K55" s="141"/>
      <c r="L55" s="141"/>
      <c r="M55" s="141"/>
      <c r="N55" s="141"/>
      <c r="O55" s="141"/>
      <c r="P55" s="141"/>
      <c r="Q55" s="141"/>
      <c r="R55" s="141"/>
      <c r="S55" s="141"/>
      <c r="T55" s="141"/>
      <c r="U55" s="141"/>
    </row>
    <row r="56" spans="1:21" x14ac:dyDescent="0.25">
      <c r="A56" s="141"/>
      <c r="B56" s="141"/>
      <c r="C56" s="141"/>
      <c r="D56" s="141"/>
      <c r="E56" s="141"/>
      <c r="F56" s="141"/>
      <c r="G56" s="141"/>
      <c r="H56" s="141"/>
      <c r="I56" s="141"/>
      <c r="J56" s="141"/>
      <c r="K56" s="141"/>
      <c r="L56" s="141"/>
      <c r="M56" s="141"/>
      <c r="N56" s="141"/>
      <c r="O56" s="141"/>
      <c r="P56" s="141"/>
      <c r="Q56" s="141"/>
      <c r="R56" s="141"/>
      <c r="S56" s="141"/>
      <c r="T56" s="141"/>
      <c r="U56" s="141"/>
    </row>
    <row r="57" spans="1:21" x14ac:dyDescent="0.25">
      <c r="A57" s="141"/>
      <c r="B57" s="141"/>
      <c r="C57" s="141"/>
      <c r="D57" s="141"/>
      <c r="E57" s="141"/>
      <c r="F57" s="141"/>
      <c r="G57" s="141"/>
      <c r="H57" s="141"/>
      <c r="I57" s="141"/>
      <c r="J57" s="141"/>
      <c r="K57" s="141"/>
      <c r="L57" s="141"/>
      <c r="M57" s="141"/>
      <c r="N57" s="141"/>
      <c r="O57" s="141"/>
      <c r="P57" s="141"/>
      <c r="Q57" s="141"/>
      <c r="R57" s="141"/>
      <c r="S57" s="141"/>
      <c r="T57" s="141"/>
      <c r="U57" s="141"/>
    </row>
    <row r="58" spans="1:21" x14ac:dyDescent="0.25">
      <c r="A58" s="141"/>
      <c r="B58" s="141"/>
      <c r="C58" s="141"/>
      <c r="D58" s="141"/>
      <c r="E58" s="141"/>
      <c r="F58" s="141"/>
      <c r="G58" s="141"/>
      <c r="H58" s="141"/>
      <c r="I58" s="141"/>
      <c r="J58" s="141"/>
      <c r="K58" s="141"/>
      <c r="L58" s="141"/>
      <c r="M58" s="141"/>
      <c r="N58" s="141"/>
      <c r="O58" s="141"/>
      <c r="P58" s="141"/>
      <c r="Q58" s="141"/>
      <c r="R58" s="141"/>
      <c r="S58" s="141"/>
      <c r="T58" s="141"/>
      <c r="U58" s="141"/>
    </row>
    <row r="59" spans="1:21" x14ac:dyDescent="0.25">
      <c r="A59" s="141"/>
      <c r="B59" s="141"/>
      <c r="C59" s="141"/>
      <c r="D59" s="141"/>
      <c r="E59" s="141"/>
      <c r="F59" s="141"/>
      <c r="G59" s="141"/>
      <c r="H59" s="141"/>
      <c r="I59" s="141"/>
      <c r="J59" s="141"/>
      <c r="K59" s="141"/>
      <c r="L59" s="141"/>
      <c r="M59" s="141"/>
      <c r="N59" s="141"/>
      <c r="O59" s="141"/>
      <c r="P59" s="141"/>
      <c r="Q59" s="141"/>
      <c r="R59" s="141"/>
      <c r="S59" s="141"/>
      <c r="T59" s="141"/>
      <c r="U59" s="141"/>
    </row>
    <row r="60" spans="1:21" x14ac:dyDescent="0.25">
      <c r="A60" s="141"/>
      <c r="B60" s="141"/>
      <c r="C60" s="141"/>
      <c r="D60" s="141"/>
      <c r="E60" s="141"/>
      <c r="F60" s="141"/>
      <c r="G60" s="141"/>
      <c r="H60" s="141"/>
      <c r="I60" s="141"/>
      <c r="J60" s="141"/>
      <c r="K60" s="141"/>
      <c r="L60" s="141"/>
      <c r="M60" s="141"/>
      <c r="N60" s="141"/>
      <c r="O60" s="141"/>
      <c r="P60" s="141"/>
      <c r="Q60" s="141"/>
      <c r="R60" s="141"/>
      <c r="S60" s="141"/>
      <c r="T60" s="141"/>
      <c r="U60" s="141"/>
    </row>
    <row r="61" spans="1:21" x14ac:dyDescent="0.25">
      <c r="A61" s="141"/>
      <c r="B61" s="141"/>
      <c r="C61" s="141"/>
      <c r="D61" s="141"/>
      <c r="E61" s="141"/>
      <c r="F61" s="141"/>
      <c r="G61" s="141"/>
      <c r="H61" s="141"/>
      <c r="I61" s="141"/>
      <c r="J61" s="141"/>
      <c r="K61" s="141"/>
      <c r="L61" s="141"/>
      <c r="M61" s="141"/>
      <c r="N61" s="141"/>
      <c r="O61" s="141"/>
      <c r="P61" s="141"/>
      <c r="Q61" s="141"/>
      <c r="R61" s="141"/>
      <c r="S61" s="141"/>
      <c r="T61" s="141"/>
      <c r="U61" s="141"/>
    </row>
    <row r="62" spans="1:21" x14ac:dyDescent="0.25">
      <c r="A62" s="141"/>
      <c r="B62" s="141"/>
      <c r="C62" s="141"/>
      <c r="D62" s="141"/>
      <c r="E62" s="141"/>
      <c r="F62" s="141"/>
      <c r="G62" s="141"/>
      <c r="H62" s="141"/>
      <c r="I62" s="141"/>
      <c r="J62" s="141"/>
      <c r="K62" s="141"/>
      <c r="L62" s="141"/>
      <c r="M62" s="141"/>
      <c r="N62" s="141"/>
      <c r="O62" s="141"/>
      <c r="P62" s="141"/>
      <c r="Q62" s="141"/>
      <c r="R62" s="141"/>
      <c r="S62" s="141"/>
      <c r="T62" s="141"/>
      <c r="U62" s="141"/>
    </row>
    <row r="63" spans="1:21" x14ac:dyDescent="0.25">
      <c r="A63" s="141"/>
      <c r="B63" s="141"/>
      <c r="C63" s="141"/>
      <c r="D63" s="141"/>
      <c r="E63" s="141"/>
      <c r="F63" s="141"/>
      <c r="G63" s="141"/>
      <c r="H63" s="141"/>
      <c r="I63" s="141"/>
      <c r="J63" s="141"/>
      <c r="K63" s="141"/>
      <c r="L63" s="141"/>
      <c r="M63" s="141"/>
      <c r="N63" s="141"/>
      <c r="O63" s="141"/>
      <c r="P63" s="141"/>
      <c r="Q63" s="141"/>
      <c r="R63" s="141"/>
      <c r="S63" s="141"/>
      <c r="T63" s="141"/>
      <c r="U63" s="141"/>
    </row>
    <row r="64" spans="1:21" x14ac:dyDescent="0.25">
      <c r="A64" s="141"/>
      <c r="B64" s="141"/>
      <c r="C64" s="141"/>
      <c r="D64" s="141"/>
      <c r="E64" s="141"/>
      <c r="F64" s="141"/>
      <c r="G64" s="141"/>
      <c r="H64" s="141"/>
      <c r="I64" s="141"/>
      <c r="J64" s="141"/>
      <c r="K64" s="141"/>
      <c r="L64" s="141"/>
      <c r="M64" s="141"/>
      <c r="N64" s="141"/>
      <c r="O64" s="141"/>
      <c r="P64" s="141"/>
      <c r="Q64" s="141"/>
      <c r="R64" s="141"/>
      <c r="S64" s="141"/>
      <c r="T64" s="141"/>
      <c r="U64" s="141"/>
    </row>
    <row r="65" spans="1:21" x14ac:dyDescent="0.25">
      <c r="A65" s="141"/>
      <c r="B65" s="141"/>
      <c r="C65" s="141"/>
      <c r="D65" s="141"/>
      <c r="E65" s="141"/>
      <c r="F65" s="141"/>
      <c r="G65" s="141"/>
      <c r="H65" s="141"/>
      <c r="I65" s="141"/>
      <c r="J65" s="141"/>
      <c r="K65" s="141"/>
      <c r="L65" s="141"/>
      <c r="M65" s="141"/>
      <c r="N65" s="141"/>
      <c r="O65" s="141"/>
      <c r="P65" s="141"/>
      <c r="Q65" s="141"/>
      <c r="R65" s="141"/>
      <c r="S65" s="141"/>
      <c r="T65" s="141"/>
      <c r="U65" s="141"/>
    </row>
    <row r="66" spans="1:21" x14ac:dyDescent="0.25">
      <c r="A66" s="141"/>
      <c r="B66" s="141"/>
      <c r="C66" s="141"/>
      <c r="D66" s="141"/>
      <c r="E66" s="141"/>
      <c r="F66" s="141"/>
      <c r="G66" s="141"/>
      <c r="H66" s="141"/>
      <c r="I66" s="141"/>
      <c r="J66" s="141"/>
      <c r="K66" s="141"/>
      <c r="L66" s="141"/>
      <c r="M66" s="141"/>
      <c r="N66" s="141"/>
      <c r="O66" s="141"/>
      <c r="P66" s="141"/>
      <c r="Q66" s="141"/>
      <c r="R66" s="141"/>
      <c r="S66" s="141"/>
      <c r="T66" s="141"/>
      <c r="U66" s="141"/>
    </row>
    <row r="67" spans="1:21" x14ac:dyDescent="0.25">
      <c r="A67" s="141"/>
      <c r="B67" s="141"/>
      <c r="C67" s="141"/>
      <c r="D67" s="141"/>
      <c r="E67" s="141"/>
      <c r="F67" s="141"/>
      <c r="G67" s="141"/>
      <c r="H67" s="141"/>
      <c r="I67" s="141"/>
      <c r="J67" s="141"/>
      <c r="K67" s="141"/>
      <c r="L67" s="141"/>
      <c r="M67" s="141"/>
      <c r="N67" s="141"/>
      <c r="O67" s="141"/>
      <c r="P67" s="141"/>
      <c r="Q67" s="141"/>
      <c r="R67" s="141"/>
      <c r="S67" s="141"/>
      <c r="T67" s="141"/>
      <c r="U67" s="141"/>
    </row>
    <row r="68" spans="1:21" x14ac:dyDescent="0.25">
      <c r="A68" s="141"/>
      <c r="B68" s="141"/>
      <c r="C68" s="141"/>
      <c r="D68" s="141"/>
      <c r="E68" s="141"/>
      <c r="F68" s="141"/>
      <c r="G68" s="141"/>
      <c r="H68" s="141"/>
      <c r="I68" s="141"/>
      <c r="J68" s="141"/>
      <c r="K68" s="141"/>
      <c r="L68" s="141"/>
      <c r="M68" s="141"/>
      <c r="N68" s="141"/>
      <c r="O68" s="141"/>
      <c r="P68" s="141"/>
      <c r="Q68" s="141"/>
      <c r="R68" s="141"/>
      <c r="S68" s="141"/>
      <c r="T68" s="141"/>
      <c r="U68" s="141"/>
    </row>
    <row r="69" spans="1:21" x14ac:dyDescent="0.25">
      <c r="A69" s="141"/>
      <c r="B69" s="141"/>
      <c r="C69" s="141"/>
      <c r="D69" s="141"/>
      <c r="E69" s="141"/>
      <c r="F69" s="141"/>
      <c r="G69" s="141"/>
      <c r="H69" s="141"/>
      <c r="I69" s="141"/>
      <c r="J69" s="141"/>
      <c r="K69" s="141"/>
      <c r="L69" s="141"/>
      <c r="M69" s="141"/>
      <c r="N69" s="141"/>
      <c r="O69" s="141"/>
      <c r="P69" s="141"/>
      <c r="Q69" s="141"/>
      <c r="R69" s="141"/>
      <c r="S69" s="141"/>
      <c r="T69" s="141"/>
      <c r="U69" s="141"/>
    </row>
    <row r="70" spans="1:21" x14ac:dyDescent="0.25">
      <c r="A70" s="141"/>
      <c r="B70" s="141"/>
      <c r="C70" s="141"/>
      <c r="D70" s="141"/>
      <c r="E70" s="141"/>
      <c r="F70" s="141"/>
      <c r="G70" s="141"/>
      <c r="H70" s="141"/>
      <c r="I70" s="141"/>
      <c r="J70" s="141"/>
      <c r="K70" s="141"/>
      <c r="L70" s="141"/>
      <c r="M70" s="141"/>
      <c r="N70" s="141"/>
      <c r="O70" s="141"/>
      <c r="P70" s="141"/>
      <c r="Q70" s="141"/>
      <c r="R70" s="141"/>
      <c r="S70" s="141"/>
      <c r="T70" s="141"/>
      <c r="U70" s="141"/>
    </row>
    <row r="71" spans="1:21" x14ac:dyDescent="0.25">
      <c r="A71" s="141"/>
      <c r="B71" s="141"/>
      <c r="C71" s="141"/>
      <c r="D71" s="141"/>
      <c r="E71" s="141"/>
      <c r="F71" s="141"/>
      <c r="G71" s="141"/>
      <c r="H71" s="141"/>
      <c r="I71" s="141"/>
      <c r="J71" s="141"/>
      <c r="K71" s="141"/>
      <c r="L71" s="141"/>
      <c r="M71" s="141"/>
      <c r="N71" s="141"/>
      <c r="O71" s="141"/>
      <c r="P71" s="141"/>
      <c r="Q71" s="141"/>
      <c r="R71" s="141"/>
      <c r="S71" s="141"/>
      <c r="T71" s="141"/>
      <c r="U71" s="141"/>
    </row>
    <row r="72" spans="1:21" x14ac:dyDescent="0.25">
      <c r="A72" s="141"/>
      <c r="B72" s="141"/>
      <c r="C72" s="141"/>
      <c r="D72" s="141"/>
      <c r="E72" s="141"/>
      <c r="F72" s="141"/>
      <c r="G72" s="141"/>
      <c r="H72" s="141"/>
      <c r="I72" s="141"/>
      <c r="J72" s="141"/>
      <c r="K72" s="141"/>
      <c r="L72" s="141"/>
      <c r="M72" s="141"/>
      <c r="N72" s="141"/>
      <c r="O72" s="141"/>
      <c r="P72" s="141"/>
      <c r="Q72" s="141"/>
      <c r="R72" s="141"/>
      <c r="S72" s="141"/>
      <c r="T72" s="141"/>
      <c r="U72" s="141"/>
    </row>
    <row r="73" spans="1:21" x14ac:dyDescent="0.25">
      <c r="A73" s="141"/>
      <c r="B73" s="141"/>
      <c r="C73" s="141"/>
      <c r="D73" s="141"/>
      <c r="E73" s="141"/>
      <c r="F73" s="141"/>
      <c r="G73" s="141"/>
      <c r="H73" s="141"/>
      <c r="I73" s="141"/>
      <c r="J73" s="141"/>
      <c r="K73" s="141"/>
      <c r="L73" s="141"/>
      <c r="M73" s="141"/>
      <c r="N73" s="141"/>
      <c r="O73" s="141"/>
      <c r="P73" s="141"/>
      <c r="Q73" s="141"/>
      <c r="R73" s="141"/>
      <c r="S73" s="141"/>
      <c r="T73" s="141"/>
      <c r="U73" s="141"/>
    </row>
    <row r="74" spans="1:21" x14ac:dyDescent="0.25">
      <c r="A74" s="141"/>
      <c r="B74" s="141"/>
      <c r="C74" s="141"/>
      <c r="D74" s="141"/>
      <c r="E74" s="141"/>
      <c r="F74" s="141"/>
      <c r="G74" s="141"/>
      <c r="H74" s="141"/>
      <c r="I74" s="141"/>
      <c r="J74" s="141"/>
      <c r="K74" s="141"/>
      <c r="L74" s="141"/>
      <c r="M74" s="141"/>
      <c r="N74" s="141"/>
      <c r="O74" s="141"/>
      <c r="P74" s="141"/>
      <c r="Q74" s="141"/>
      <c r="R74" s="141"/>
      <c r="S74" s="141"/>
      <c r="T74" s="141"/>
      <c r="U74" s="141"/>
    </row>
    <row r="75" spans="1:21" x14ac:dyDescent="0.25">
      <c r="A75" s="141"/>
      <c r="B75" s="141"/>
      <c r="C75" s="141"/>
      <c r="D75" s="141"/>
      <c r="E75" s="141"/>
      <c r="F75" s="141"/>
      <c r="G75" s="141"/>
      <c r="H75" s="141"/>
      <c r="I75" s="141"/>
      <c r="J75" s="141"/>
      <c r="K75" s="141"/>
      <c r="L75" s="141"/>
      <c r="M75" s="141"/>
      <c r="N75" s="141"/>
      <c r="O75" s="141"/>
      <c r="P75" s="141"/>
      <c r="Q75" s="141"/>
      <c r="R75" s="141"/>
      <c r="S75" s="141"/>
      <c r="T75" s="141"/>
      <c r="U75" s="141"/>
    </row>
    <row r="76" spans="1:21" x14ac:dyDescent="0.25">
      <c r="A76" s="141"/>
      <c r="B76" s="141"/>
      <c r="C76" s="141"/>
      <c r="D76" s="141"/>
      <c r="E76" s="141"/>
      <c r="F76" s="141"/>
      <c r="G76" s="141"/>
      <c r="H76" s="141"/>
      <c r="I76" s="141"/>
      <c r="J76" s="141"/>
      <c r="K76" s="141"/>
      <c r="L76" s="141"/>
      <c r="M76" s="141"/>
      <c r="N76" s="141"/>
      <c r="O76" s="141"/>
      <c r="P76" s="141"/>
      <c r="Q76" s="141"/>
      <c r="R76" s="141"/>
      <c r="S76" s="141"/>
      <c r="T76" s="141"/>
      <c r="U76" s="141"/>
    </row>
    <row r="77" spans="1:21" x14ac:dyDescent="0.25">
      <c r="A77" s="141"/>
      <c r="B77" s="141"/>
      <c r="C77" s="141"/>
      <c r="D77" s="141"/>
      <c r="E77" s="141"/>
      <c r="F77" s="141"/>
      <c r="G77" s="141"/>
      <c r="H77" s="141"/>
      <c r="I77" s="141"/>
      <c r="J77" s="141"/>
      <c r="K77" s="141"/>
      <c r="L77" s="141"/>
      <c r="M77" s="141"/>
      <c r="N77" s="141"/>
      <c r="O77" s="141"/>
      <c r="P77" s="141"/>
      <c r="Q77" s="141"/>
      <c r="R77" s="141"/>
      <c r="S77" s="141"/>
      <c r="T77" s="141"/>
      <c r="U77" s="141"/>
    </row>
    <row r="78" spans="1:21" x14ac:dyDescent="0.25">
      <c r="A78" s="141"/>
      <c r="B78" s="141"/>
      <c r="C78" s="141"/>
      <c r="D78" s="141"/>
      <c r="E78" s="141"/>
      <c r="F78" s="141"/>
      <c r="G78" s="141"/>
      <c r="H78" s="141"/>
      <c r="I78" s="141"/>
      <c r="J78" s="141"/>
      <c r="K78" s="141"/>
      <c r="L78" s="141"/>
      <c r="M78" s="141"/>
      <c r="N78" s="141"/>
      <c r="O78" s="141"/>
      <c r="P78" s="141"/>
      <c r="Q78" s="141"/>
      <c r="R78" s="141"/>
      <c r="S78" s="141"/>
      <c r="T78" s="141"/>
      <c r="U78" s="141"/>
    </row>
    <row r="79" spans="1:21" x14ac:dyDescent="0.25">
      <c r="A79" s="141"/>
      <c r="B79" s="141"/>
      <c r="C79" s="141"/>
      <c r="D79" s="141"/>
      <c r="E79" s="141"/>
      <c r="F79" s="141"/>
      <c r="G79" s="141"/>
      <c r="H79" s="141"/>
      <c r="I79" s="141"/>
      <c r="J79" s="141"/>
      <c r="K79" s="141"/>
      <c r="L79" s="141"/>
      <c r="M79" s="141"/>
      <c r="N79" s="141"/>
      <c r="O79" s="141"/>
      <c r="P79" s="141"/>
      <c r="Q79" s="141"/>
      <c r="R79" s="141"/>
      <c r="S79" s="141"/>
      <c r="T79" s="141"/>
      <c r="U79" s="141"/>
    </row>
    <row r="80" spans="1:21" x14ac:dyDescent="0.25">
      <c r="A80" s="141"/>
      <c r="B80" s="141"/>
      <c r="C80" s="141"/>
      <c r="D80" s="141"/>
      <c r="E80" s="141"/>
      <c r="F80" s="141"/>
      <c r="G80" s="141"/>
      <c r="H80" s="141"/>
      <c r="I80" s="141"/>
      <c r="J80" s="141"/>
      <c r="K80" s="141"/>
      <c r="L80" s="141"/>
      <c r="M80" s="141"/>
      <c r="N80" s="141"/>
      <c r="O80" s="141"/>
      <c r="P80" s="141"/>
      <c r="Q80" s="141"/>
      <c r="R80" s="141"/>
      <c r="S80" s="141"/>
      <c r="T80" s="141"/>
      <c r="U80" s="141"/>
    </row>
    <row r="81" spans="1:21" x14ac:dyDescent="0.25">
      <c r="A81" s="141"/>
      <c r="B81" s="141"/>
      <c r="C81" s="141"/>
      <c r="D81" s="141"/>
      <c r="E81" s="141"/>
      <c r="F81" s="141"/>
      <c r="G81" s="141"/>
      <c r="H81" s="141"/>
      <c r="I81" s="141"/>
      <c r="J81" s="141"/>
      <c r="K81" s="141"/>
      <c r="L81" s="141"/>
      <c r="M81" s="141"/>
      <c r="N81" s="141"/>
      <c r="O81" s="141"/>
      <c r="P81" s="141"/>
      <c r="Q81" s="141"/>
      <c r="R81" s="141"/>
      <c r="S81" s="141"/>
      <c r="T81" s="141"/>
      <c r="U81" s="141"/>
    </row>
    <row r="82" spans="1:21" x14ac:dyDescent="0.25">
      <c r="A82" s="141"/>
      <c r="B82" s="141"/>
      <c r="C82" s="141"/>
      <c r="D82" s="141"/>
      <c r="E82" s="141"/>
      <c r="F82" s="141"/>
      <c r="G82" s="141"/>
      <c r="H82" s="141"/>
      <c r="I82" s="141"/>
      <c r="J82" s="141"/>
      <c r="K82" s="141"/>
      <c r="L82" s="141"/>
      <c r="M82" s="141"/>
      <c r="N82" s="141"/>
      <c r="O82" s="141"/>
      <c r="P82" s="141"/>
      <c r="Q82" s="141"/>
      <c r="R82" s="141"/>
      <c r="S82" s="141"/>
      <c r="T82" s="141"/>
      <c r="U82" s="141"/>
    </row>
    <row r="83" spans="1:21" x14ac:dyDescent="0.25">
      <c r="A83" s="141"/>
      <c r="B83" s="141"/>
      <c r="C83" s="141"/>
      <c r="D83" s="141"/>
      <c r="E83" s="141"/>
      <c r="F83" s="141"/>
      <c r="G83" s="141"/>
      <c r="H83" s="141"/>
      <c r="I83" s="141"/>
      <c r="J83" s="141"/>
      <c r="K83" s="141"/>
      <c r="L83" s="141"/>
      <c r="M83" s="141"/>
      <c r="N83" s="141"/>
      <c r="O83" s="141"/>
      <c r="P83" s="141"/>
      <c r="Q83" s="141"/>
      <c r="R83" s="141"/>
      <c r="S83" s="141"/>
      <c r="T83" s="141"/>
      <c r="U83" s="141"/>
    </row>
    <row r="84" spans="1:21" x14ac:dyDescent="0.25">
      <c r="A84" s="141"/>
      <c r="B84" s="141"/>
      <c r="C84" s="141"/>
      <c r="D84" s="141"/>
      <c r="E84" s="141"/>
      <c r="F84" s="141"/>
      <c r="G84" s="141"/>
      <c r="H84" s="141"/>
      <c r="I84" s="141"/>
      <c r="J84" s="141"/>
      <c r="K84" s="141"/>
      <c r="L84" s="141"/>
      <c r="M84" s="141"/>
      <c r="N84" s="141"/>
      <c r="O84" s="141"/>
      <c r="P84" s="141"/>
      <c r="Q84" s="141"/>
      <c r="R84" s="141"/>
      <c r="S84" s="141"/>
      <c r="T84" s="141"/>
      <c r="U84" s="141"/>
    </row>
    <row r="85" spans="1:21" x14ac:dyDescent="0.25">
      <c r="A85" s="141"/>
      <c r="B85" s="141"/>
      <c r="C85" s="141"/>
      <c r="D85" s="141"/>
      <c r="E85" s="141"/>
      <c r="F85" s="141"/>
      <c r="G85" s="141"/>
      <c r="H85" s="141"/>
      <c r="I85" s="141"/>
      <c r="J85" s="141"/>
      <c r="K85" s="141"/>
      <c r="L85" s="141"/>
      <c r="M85" s="141"/>
      <c r="N85" s="141"/>
      <c r="O85" s="141"/>
      <c r="P85" s="141"/>
      <c r="Q85" s="141"/>
      <c r="R85" s="141"/>
      <c r="S85" s="141"/>
      <c r="T85" s="141"/>
      <c r="U85" s="141"/>
    </row>
    <row r="86" spans="1:21" x14ac:dyDescent="0.25">
      <c r="A86" s="141"/>
      <c r="B86" s="141"/>
      <c r="C86" s="141"/>
      <c r="D86" s="141"/>
      <c r="E86" s="141"/>
      <c r="F86" s="141"/>
      <c r="G86" s="141"/>
      <c r="H86" s="141"/>
      <c r="I86" s="141"/>
      <c r="J86" s="141"/>
      <c r="K86" s="141"/>
      <c r="L86" s="141"/>
      <c r="M86" s="141"/>
      <c r="N86" s="141"/>
      <c r="O86" s="141"/>
      <c r="P86" s="141"/>
      <c r="Q86" s="141"/>
      <c r="R86" s="141"/>
      <c r="S86" s="141"/>
      <c r="T86" s="141"/>
      <c r="U86" s="141"/>
    </row>
    <row r="87" spans="1:21" x14ac:dyDescent="0.25">
      <c r="A87" s="141"/>
      <c r="B87" s="141"/>
      <c r="C87" s="141"/>
      <c r="D87" s="141"/>
      <c r="E87" s="141"/>
      <c r="F87" s="141"/>
      <c r="G87" s="141"/>
      <c r="H87" s="141"/>
      <c r="I87" s="141"/>
      <c r="J87" s="141"/>
      <c r="K87" s="141"/>
      <c r="L87" s="141"/>
      <c r="M87" s="141"/>
      <c r="N87" s="141"/>
      <c r="O87" s="141"/>
      <c r="P87" s="141"/>
      <c r="Q87" s="141"/>
      <c r="R87" s="141"/>
      <c r="S87" s="141"/>
      <c r="T87" s="141"/>
      <c r="U87" s="141"/>
    </row>
    <row r="88" spans="1:21" x14ac:dyDescent="0.25">
      <c r="A88" s="141"/>
      <c r="B88" s="141"/>
      <c r="C88" s="141"/>
      <c r="D88" s="141"/>
      <c r="E88" s="141"/>
      <c r="F88" s="141"/>
      <c r="G88" s="141"/>
      <c r="H88" s="141"/>
      <c r="I88" s="141"/>
      <c r="J88" s="141"/>
      <c r="K88" s="141"/>
      <c r="L88" s="141"/>
      <c r="M88" s="141"/>
      <c r="N88" s="141"/>
      <c r="O88" s="141"/>
      <c r="P88" s="141"/>
      <c r="Q88" s="141"/>
      <c r="R88" s="141"/>
      <c r="S88" s="141"/>
      <c r="T88" s="141"/>
      <c r="U88" s="141"/>
    </row>
    <row r="89" spans="1:21" x14ac:dyDescent="0.25">
      <c r="A89" s="141"/>
      <c r="B89" s="141"/>
      <c r="C89" s="141"/>
      <c r="D89" s="141"/>
      <c r="E89" s="141"/>
      <c r="F89" s="141"/>
      <c r="G89" s="141"/>
      <c r="H89" s="141"/>
      <c r="I89" s="141"/>
      <c r="J89" s="141"/>
      <c r="K89" s="141"/>
      <c r="L89" s="141"/>
      <c r="M89" s="141"/>
      <c r="N89" s="141"/>
      <c r="O89" s="141"/>
      <c r="P89" s="141"/>
      <c r="Q89" s="141"/>
      <c r="R89" s="141"/>
      <c r="S89" s="141"/>
      <c r="T89" s="141"/>
      <c r="U89" s="141"/>
    </row>
    <row r="90" spans="1:21" x14ac:dyDescent="0.25">
      <c r="A90" s="141"/>
      <c r="B90" s="141"/>
      <c r="C90" s="141"/>
      <c r="D90" s="141"/>
      <c r="E90" s="141"/>
      <c r="F90" s="141"/>
      <c r="G90" s="141"/>
      <c r="H90" s="141"/>
      <c r="I90" s="141"/>
      <c r="J90" s="141"/>
      <c r="K90" s="141"/>
      <c r="L90" s="141"/>
      <c r="M90" s="141"/>
      <c r="N90" s="141"/>
      <c r="O90" s="141"/>
      <c r="P90" s="141"/>
      <c r="Q90" s="141"/>
      <c r="R90" s="141"/>
      <c r="S90" s="141"/>
      <c r="T90" s="141"/>
      <c r="U90" s="141"/>
    </row>
    <row r="91" spans="1:21" x14ac:dyDescent="0.25">
      <c r="A91" s="141"/>
      <c r="B91" s="141"/>
      <c r="C91" s="141"/>
      <c r="D91" s="141"/>
      <c r="E91" s="141"/>
      <c r="F91" s="141"/>
      <c r="G91" s="141"/>
      <c r="H91" s="141"/>
      <c r="I91" s="141"/>
      <c r="J91" s="141"/>
      <c r="K91" s="141"/>
      <c r="L91" s="141"/>
      <c r="M91" s="141"/>
      <c r="N91" s="141"/>
      <c r="O91" s="141"/>
      <c r="P91" s="141"/>
      <c r="Q91" s="141"/>
      <c r="R91" s="141"/>
      <c r="S91" s="141"/>
      <c r="T91" s="141"/>
      <c r="U91" s="141"/>
    </row>
    <row r="92" spans="1:21" x14ac:dyDescent="0.25">
      <c r="A92" s="141"/>
      <c r="B92" s="141"/>
      <c r="C92" s="141"/>
      <c r="D92" s="141"/>
      <c r="E92" s="141"/>
      <c r="F92" s="141"/>
      <c r="G92" s="141"/>
      <c r="H92" s="141"/>
      <c r="I92" s="141"/>
      <c r="J92" s="141"/>
      <c r="K92" s="141"/>
      <c r="L92" s="141"/>
      <c r="M92" s="141"/>
      <c r="N92" s="141"/>
      <c r="O92" s="141"/>
      <c r="P92" s="141"/>
      <c r="Q92" s="141"/>
      <c r="R92" s="141"/>
      <c r="S92" s="141"/>
      <c r="T92" s="141"/>
      <c r="U92" s="141"/>
    </row>
    <row r="93" spans="1:21" x14ac:dyDescent="0.25">
      <c r="A93" s="141"/>
      <c r="B93" s="141"/>
      <c r="C93" s="141"/>
      <c r="D93" s="141"/>
      <c r="E93" s="141"/>
      <c r="F93" s="141"/>
      <c r="G93" s="141"/>
      <c r="H93" s="141"/>
      <c r="I93" s="141"/>
      <c r="J93" s="141"/>
      <c r="K93" s="141"/>
      <c r="L93" s="141"/>
      <c r="M93" s="141"/>
      <c r="N93" s="141"/>
      <c r="O93" s="141"/>
      <c r="P93" s="141"/>
      <c r="Q93" s="141"/>
      <c r="R93" s="141"/>
      <c r="S93" s="141"/>
      <c r="T93" s="141"/>
      <c r="U93" s="141"/>
    </row>
    <row r="94" spans="1:21" x14ac:dyDescent="0.25">
      <c r="A94" s="141"/>
      <c r="B94" s="141"/>
      <c r="C94" s="141"/>
      <c r="D94" s="141"/>
      <c r="E94" s="141"/>
      <c r="F94" s="141"/>
      <c r="G94" s="141"/>
      <c r="H94" s="141"/>
      <c r="I94" s="141"/>
      <c r="J94" s="141"/>
      <c r="K94" s="141"/>
      <c r="L94" s="141"/>
      <c r="M94" s="141"/>
      <c r="N94" s="141"/>
      <c r="O94" s="141"/>
      <c r="P94" s="141"/>
      <c r="Q94" s="141"/>
      <c r="R94" s="141"/>
      <c r="S94" s="141"/>
      <c r="T94" s="141"/>
      <c r="U94" s="141"/>
    </row>
    <row r="95" spans="1:21" x14ac:dyDescent="0.25">
      <c r="A95" s="141"/>
      <c r="B95" s="141"/>
      <c r="C95" s="141"/>
      <c r="D95" s="141"/>
      <c r="E95" s="141"/>
      <c r="F95" s="141"/>
      <c r="G95" s="141"/>
      <c r="H95" s="141"/>
      <c r="I95" s="141"/>
      <c r="J95" s="141"/>
      <c r="K95" s="141"/>
      <c r="L95" s="141"/>
      <c r="M95" s="141"/>
      <c r="N95" s="141"/>
      <c r="O95" s="141"/>
      <c r="P95" s="141"/>
      <c r="Q95" s="141"/>
      <c r="R95" s="141"/>
      <c r="S95" s="141"/>
      <c r="T95" s="141"/>
      <c r="U95" s="141"/>
    </row>
    <row r="96" spans="1:21" x14ac:dyDescent="0.25">
      <c r="A96" s="141"/>
      <c r="B96" s="141"/>
      <c r="C96" s="141"/>
      <c r="D96" s="141"/>
      <c r="E96" s="141"/>
      <c r="F96" s="141"/>
      <c r="G96" s="141"/>
      <c r="H96" s="141"/>
      <c r="I96" s="141"/>
      <c r="J96" s="141"/>
      <c r="K96" s="141"/>
      <c r="L96" s="141"/>
      <c r="M96" s="141"/>
      <c r="N96" s="141"/>
      <c r="O96" s="141"/>
      <c r="P96" s="141"/>
      <c r="Q96" s="141"/>
      <c r="R96" s="141"/>
      <c r="S96" s="141"/>
      <c r="T96" s="141"/>
      <c r="U96" s="141"/>
    </row>
    <row r="97" spans="1:21" x14ac:dyDescent="0.25">
      <c r="A97" s="141"/>
      <c r="B97" s="141"/>
      <c r="C97" s="141"/>
      <c r="D97" s="141"/>
      <c r="E97" s="141"/>
      <c r="F97" s="141"/>
      <c r="G97" s="141"/>
      <c r="H97" s="141"/>
      <c r="I97" s="141"/>
      <c r="J97" s="141"/>
      <c r="K97" s="141"/>
      <c r="L97" s="141"/>
      <c r="M97" s="141"/>
      <c r="N97" s="141"/>
      <c r="O97" s="141"/>
      <c r="P97" s="141"/>
      <c r="Q97" s="141"/>
      <c r="R97" s="141"/>
      <c r="S97" s="141"/>
      <c r="T97" s="141"/>
      <c r="U97" s="141"/>
    </row>
    <row r="98" spans="1:21" x14ac:dyDescent="0.25">
      <c r="A98" s="141"/>
      <c r="B98" s="141"/>
      <c r="C98" s="141"/>
      <c r="D98" s="141"/>
      <c r="E98" s="141"/>
      <c r="F98" s="141"/>
      <c r="G98" s="141"/>
      <c r="H98" s="141"/>
      <c r="I98" s="141"/>
      <c r="J98" s="141"/>
      <c r="K98" s="141"/>
      <c r="L98" s="141"/>
      <c r="M98" s="141"/>
      <c r="N98" s="141"/>
      <c r="O98" s="141"/>
      <c r="P98" s="141"/>
      <c r="Q98" s="141"/>
      <c r="R98" s="141"/>
      <c r="S98" s="141"/>
      <c r="T98" s="141"/>
      <c r="U98" s="141"/>
    </row>
    <row r="99" spans="1:21" x14ac:dyDescent="0.25">
      <c r="A99" s="141"/>
      <c r="B99" s="141"/>
      <c r="C99" s="141"/>
      <c r="D99" s="141"/>
      <c r="E99" s="141"/>
      <c r="F99" s="141"/>
      <c r="G99" s="141"/>
      <c r="H99" s="141"/>
      <c r="I99" s="141"/>
      <c r="J99" s="141"/>
      <c r="K99" s="141"/>
      <c r="L99" s="141"/>
      <c r="M99" s="141"/>
      <c r="N99" s="141"/>
      <c r="O99" s="141"/>
      <c r="P99" s="141"/>
      <c r="Q99" s="141"/>
      <c r="R99" s="141"/>
      <c r="S99" s="141"/>
      <c r="T99" s="141"/>
      <c r="U99" s="141"/>
    </row>
    <row r="100" spans="1:21" x14ac:dyDescent="0.25">
      <c r="A100" s="141"/>
      <c r="B100" s="141"/>
      <c r="C100" s="141"/>
      <c r="D100" s="141"/>
      <c r="E100" s="141"/>
      <c r="F100" s="141"/>
      <c r="G100" s="141"/>
      <c r="H100" s="141"/>
      <c r="I100" s="141"/>
      <c r="J100" s="141"/>
      <c r="K100" s="141"/>
      <c r="L100" s="141"/>
      <c r="M100" s="141"/>
      <c r="N100" s="141"/>
      <c r="O100" s="141"/>
      <c r="P100" s="141"/>
      <c r="Q100" s="141"/>
      <c r="R100" s="141"/>
      <c r="S100" s="141"/>
      <c r="T100" s="141"/>
      <c r="U100" s="141"/>
    </row>
    <row r="101" spans="1:21" x14ac:dyDescent="0.25">
      <c r="A101" s="141"/>
      <c r="B101" s="141"/>
      <c r="C101" s="141"/>
      <c r="D101" s="141"/>
      <c r="E101" s="141"/>
      <c r="F101" s="141"/>
      <c r="G101" s="141"/>
      <c r="H101" s="141"/>
      <c r="I101" s="141"/>
      <c r="J101" s="141"/>
      <c r="K101" s="141"/>
      <c r="L101" s="141"/>
      <c r="M101" s="141"/>
      <c r="N101" s="141"/>
      <c r="O101" s="141"/>
      <c r="P101" s="141"/>
      <c r="Q101" s="141"/>
      <c r="R101" s="141"/>
      <c r="S101" s="141"/>
      <c r="T101" s="141"/>
      <c r="U101" s="141"/>
    </row>
    <row r="102" spans="1:21" x14ac:dyDescent="0.25">
      <c r="A102" s="141"/>
      <c r="B102" s="141"/>
      <c r="C102" s="141"/>
      <c r="D102" s="141"/>
      <c r="E102" s="141"/>
      <c r="F102" s="141"/>
      <c r="G102" s="141"/>
      <c r="H102" s="141"/>
      <c r="I102" s="141"/>
      <c r="J102" s="141"/>
      <c r="K102" s="141"/>
      <c r="L102" s="141"/>
      <c r="M102" s="141"/>
      <c r="N102" s="141"/>
      <c r="O102" s="141"/>
      <c r="P102" s="141"/>
      <c r="Q102" s="141"/>
      <c r="R102" s="141"/>
      <c r="S102" s="141"/>
      <c r="T102" s="141"/>
      <c r="U102" s="141"/>
    </row>
    <row r="103" spans="1:21" x14ac:dyDescent="0.25">
      <c r="A103" s="141"/>
      <c r="B103" s="141"/>
      <c r="C103" s="141"/>
      <c r="D103" s="141"/>
      <c r="E103" s="141"/>
      <c r="F103" s="141"/>
      <c r="G103" s="141"/>
      <c r="H103" s="141"/>
      <c r="I103" s="141"/>
      <c r="J103" s="141"/>
      <c r="K103" s="141"/>
      <c r="L103" s="141"/>
      <c r="M103" s="141"/>
      <c r="N103" s="141"/>
      <c r="O103" s="141"/>
      <c r="P103" s="141"/>
      <c r="Q103" s="141"/>
      <c r="R103" s="141"/>
      <c r="S103" s="141"/>
      <c r="T103" s="141"/>
      <c r="U103" s="141"/>
    </row>
    <row r="104" spans="1:21" x14ac:dyDescent="0.25">
      <c r="A104" s="141"/>
      <c r="B104" s="141"/>
      <c r="C104" s="141"/>
      <c r="D104" s="141"/>
      <c r="E104" s="141"/>
      <c r="F104" s="141"/>
      <c r="G104" s="141"/>
      <c r="H104" s="141"/>
      <c r="I104" s="141"/>
      <c r="J104" s="141"/>
      <c r="K104" s="141"/>
      <c r="L104" s="141"/>
      <c r="M104" s="141"/>
      <c r="N104" s="141"/>
      <c r="O104" s="141"/>
      <c r="P104" s="141"/>
      <c r="Q104" s="141"/>
      <c r="R104" s="141"/>
      <c r="S104" s="141"/>
      <c r="T104" s="141"/>
      <c r="U104" s="141"/>
    </row>
    <row r="105" spans="1:21" x14ac:dyDescent="0.25">
      <c r="A105" s="141"/>
      <c r="B105" s="141"/>
      <c r="C105" s="141"/>
      <c r="D105" s="141"/>
      <c r="E105" s="141"/>
      <c r="F105" s="141"/>
      <c r="G105" s="141"/>
      <c r="H105" s="141"/>
      <c r="I105" s="141"/>
      <c r="J105" s="141"/>
      <c r="K105" s="141"/>
      <c r="L105" s="141"/>
      <c r="M105" s="141"/>
      <c r="N105" s="141"/>
      <c r="O105" s="141"/>
      <c r="P105" s="141"/>
      <c r="Q105" s="141"/>
      <c r="R105" s="141"/>
      <c r="S105" s="141"/>
      <c r="T105" s="141"/>
      <c r="U105" s="141"/>
    </row>
    <row r="106" spans="1:21" x14ac:dyDescent="0.25">
      <c r="A106" s="141"/>
      <c r="B106" s="141"/>
      <c r="C106" s="141"/>
      <c r="D106" s="141"/>
      <c r="E106" s="141"/>
      <c r="F106" s="141"/>
      <c r="G106" s="141"/>
      <c r="H106" s="141"/>
      <c r="I106" s="141"/>
      <c r="J106" s="141"/>
      <c r="K106" s="141"/>
      <c r="L106" s="141"/>
      <c r="M106" s="141"/>
      <c r="N106" s="141"/>
      <c r="O106" s="141"/>
      <c r="P106" s="141"/>
      <c r="Q106" s="141"/>
      <c r="R106" s="141"/>
      <c r="S106" s="141"/>
      <c r="T106" s="141"/>
      <c r="U106" s="141"/>
    </row>
    <row r="107" spans="1:21" x14ac:dyDescent="0.25">
      <c r="A107" s="141"/>
      <c r="B107" s="141"/>
      <c r="C107" s="141"/>
      <c r="D107" s="141"/>
      <c r="E107" s="141"/>
      <c r="F107" s="141"/>
      <c r="G107" s="141"/>
      <c r="H107" s="141"/>
      <c r="I107" s="141"/>
      <c r="J107" s="141"/>
      <c r="K107" s="141"/>
      <c r="L107" s="141"/>
      <c r="M107" s="141"/>
      <c r="N107" s="141"/>
      <c r="O107" s="141"/>
      <c r="P107" s="141"/>
      <c r="Q107" s="141"/>
      <c r="R107" s="141"/>
      <c r="S107" s="141"/>
      <c r="T107" s="141"/>
      <c r="U107" s="141"/>
    </row>
    <row r="108" spans="1:21" x14ac:dyDescent="0.25">
      <c r="A108" s="141"/>
      <c r="B108" s="141"/>
      <c r="C108" s="141"/>
      <c r="D108" s="141"/>
      <c r="E108" s="141"/>
      <c r="F108" s="141"/>
      <c r="G108" s="141"/>
      <c r="H108" s="141"/>
      <c r="I108" s="141"/>
      <c r="J108" s="141"/>
      <c r="K108" s="141"/>
      <c r="L108" s="141"/>
      <c r="M108" s="141"/>
      <c r="N108" s="141"/>
      <c r="O108" s="141"/>
      <c r="P108" s="141"/>
      <c r="Q108" s="141"/>
      <c r="R108" s="141"/>
      <c r="S108" s="141"/>
      <c r="T108" s="141"/>
      <c r="U108" s="141"/>
    </row>
    <row r="109" spans="1:21" x14ac:dyDescent="0.25">
      <c r="A109" s="141"/>
      <c r="B109" s="141"/>
      <c r="C109" s="141"/>
      <c r="D109" s="141"/>
      <c r="E109" s="141"/>
      <c r="F109" s="141"/>
      <c r="G109" s="141"/>
      <c r="H109" s="141"/>
      <c r="I109" s="141"/>
      <c r="J109" s="141"/>
      <c r="K109" s="141"/>
      <c r="L109" s="141"/>
      <c r="M109" s="141"/>
      <c r="N109" s="141"/>
      <c r="O109" s="141"/>
      <c r="P109" s="141"/>
      <c r="Q109" s="141"/>
      <c r="R109" s="141"/>
      <c r="S109" s="141"/>
      <c r="T109" s="141"/>
      <c r="U109" s="141"/>
    </row>
    <row r="110" spans="1:21" x14ac:dyDescent="0.25">
      <c r="A110" s="141"/>
      <c r="B110" s="141"/>
      <c r="C110" s="141"/>
      <c r="D110" s="141"/>
      <c r="E110" s="141"/>
      <c r="F110" s="141"/>
      <c r="G110" s="141"/>
      <c r="H110" s="141"/>
      <c r="I110" s="141"/>
      <c r="J110" s="141"/>
      <c r="K110" s="141"/>
      <c r="L110" s="141"/>
      <c r="M110" s="141"/>
      <c r="N110" s="141"/>
      <c r="O110" s="141"/>
      <c r="P110" s="141"/>
      <c r="Q110" s="141"/>
      <c r="R110" s="141"/>
      <c r="S110" s="141"/>
      <c r="T110" s="141"/>
      <c r="U110" s="141"/>
    </row>
    <row r="111" spans="1:21" x14ac:dyDescent="0.25">
      <c r="A111" s="141"/>
      <c r="B111" s="141"/>
      <c r="C111" s="141"/>
      <c r="D111" s="141"/>
      <c r="E111" s="141"/>
      <c r="F111" s="141"/>
      <c r="G111" s="141"/>
      <c r="H111" s="141"/>
      <c r="I111" s="141"/>
      <c r="J111" s="141"/>
      <c r="K111" s="141"/>
      <c r="L111" s="141"/>
      <c r="M111" s="141"/>
      <c r="N111" s="141"/>
      <c r="O111" s="141"/>
      <c r="P111" s="141"/>
      <c r="Q111" s="141"/>
      <c r="R111" s="141"/>
      <c r="S111" s="141"/>
      <c r="T111" s="141"/>
      <c r="U111" s="141"/>
    </row>
    <row r="112" spans="1:21" x14ac:dyDescent="0.25">
      <c r="A112" s="141"/>
      <c r="B112" s="141"/>
      <c r="C112" s="141"/>
      <c r="D112" s="141"/>
      <c r="E112" s="141"/>
      <c r="F112" s="141"/>
      <c r="G112" s="141"/>
      <c r="H112" s="141"/>
      <c r="I112" s="141"/>
      <c r="J112" s="141"/>
      <c r="K112" s="141"/>
      <c r="L112" s="141"/>
      <c r="M112" s="141"/>
      <c r="N112" s="141"/>
      <c r="O112" s="141"/>
      <c r="P112" s="141"/>
      <c r="Q112" s="141"/>
      <c r="R112" s="141"/>
      <c r="S112" s="141"/>
      <c r="T112" s="141"/>
      <c r="U112" s="141"/>
    </row>
    <row r="113" spans="1:21" x14ac:dyDescent="0.25">
      <c r="A113" s="141"/>
      <c r="B113" s="141"/>
      <c r="C113" s="141"/>
      <c r="D113" s="141"/>
      <c r="E113" s="141"/>
      <c r="F113" s="141"/>
      <c r="G113" s="141"/>
      <c r="H113" s="141"/>
      <c r="I113" s="141"/>
      <c r="J113" s="141"/>
      <c r="K113" s="141"/>
      <c r="L113" s="141"/>
      <c r="M113" s="141"/>
      <c r="N113" s="141"/>
      <c r="O113" s="141"/>
      <c r="P113" s="141"/>
      <c r="Q113" s="141"/>
      <c r="R113" s="141"/>
      <c r="S113" s="141"/>
      <c r="T113" s="141"/>
      <c r="U113" s="141"/>
    </row>
    <row r="114" spans="1:21" x14ac:dyDescent="0.25">
      <c r="A114" s="141"/>
      <c r="B114" s="141"/>
      <c r="C114" s="141"/>
      <c r="D114" s="141"/>
      <c r="E114" s="141"/>
      <c r="F114" s="141"/>
      <c r="G114" s="141"/>
      <c r="H114" s="141"/>
      <c r="I114" s="141"/>
      <c r="J114" s="141"/>
      <c r="K114" s="141"/>
      <c r="L114" s="141"/>
      <c r="M114" s="141"/>
      <c r="N114" s="141"/>
      <c r="O114" s="141"/>
      <c r="P114" s="141"/>
      <c r="Q114" s="141"/>
      <c r="R114" s="141"/>
      <c r="S114" s="141"/>
      <c r="T114" s="141"/>
      <c r="U114" s="141"/>
    </row>
    <row r="115" spans="1:21" x14ac:dyDescent="0.25">
      <c r="A115" s="141"/>
      <c r="B115" s="141"/>
      <c r="C115" s="141"/>
      <c r="D115" s="141"/>
      <c r="E115" s="141"/>
      <c r="F115" s="141"/>
      <c r="G115" s="141"/>
      <c r="H115" s="141"/>
      <c r="I115" s="141"/>
      <c r="J115" s="141"/>
      <c r="K115" s="141"/>
      <c r="L115" s="141"/>
      <c r="M115" s="141"/>
      <c r="N115" s="141"/>
      <c r="O115" s="141"/>
      <c r="P115" s="141"/>
      <c r="Q115" s="141"/>
      <c r="R115" s="141"/>
      <c r="S115" s="141"/>
      <c r="T115" s="141"/>
      <c r="U115" s="141"/>
    </row>
    <row r="116" spans="1:21" x14ac:dyDescent="0.25">
      <c r="A116" s="141"/>
      <c r="B116" s="141"/>
      <c r="C116" s="141"/>
      <c r="D116" s="141"/>
      <c r="E116" s="141"/>
      <c r="F116" s="141"/>
      <c r="G116" s="141"/>
      <c r="H116" s="141"/>
      <c r="I116" s="141"/>
      <c r="J116" s="141"/>
      <c r="K116" s="141"/>
      <c r="L116" s="141"/>
      <c r="M116" s="141"/>
      <c r="N116" s="141"/>
      <c r="O116" s="141"/>
      <c r="P116" s="141"/>
      <c r="Q116" s="141"/>
      <c r="R116" s="141"/>
      <c r="S116" s="141"/>
      <c r="T116" s="141"/>
      <c r="U116" s="141"/>
    </row>
    <row r="117" spans="1:21" x14ac:dyDescent="0.25">
      <c r="A117" s="141"/>
      <c r="B117" s="141"/>
      <c r="C117" s="141"/>
      <c r="D117" s="141"/>
      <c r="E117" s="141"/>
      <c r="F117" s="141"/>
      <c r="G117" s="141"/>
      <c r="H117" s="141"/>
      <c r="I117" s="141"/>
      <c r="J117" s="141"/>
      <c r="K117" s="141"/>
      <c r="L117" s="141"/>
      <c r="M117" s="141"/>
      <c r="N117" s="141"/>
      <c r="O117" s="141"/>
      <c r="P117" s="141"/>
      <c r="Q117" s="141"/>
      <c r="R117" s="141"/>
      <c r="S117" s="141"/>
      <c r="T117" s="141"/>
      <c r="U117" s="141"/>
    </row>
    <row r="118" spans="1:21" x14ac:dyDescent="0.25">
      <c r="A118" s="141"/>
      <c r="B118" s="141"/>
      <c r="C118" s="141"/>
      <c r="D118" s="141"/>
      <c r="E118" s="141"/>
      <c r="F118" s="141"/>
      <c r="G118" s="141"/>
      <c r="H118" s="141"/>
      <c r="I118" s="141"/>
      <c r="J118" s="141"/>
      <c r="K118" s="141"/>
      <c r="L118" s="141"/>
      <c r="M118" s="141"/>
      <c r="N118" s="141"/>
      <c r="O118" s="141"/>
      <c r="P118" s="141"/>
      <c r="Q118" s="141"/>
      <c r="R118" s="141"/>
      <c r="S118" s="141"/>
      <c r="T118" s="141"/>
      <c r="U118" s="141"/>
    </row>
    <row r="119" spans="1:21" x14ac:dyDescent="0.25">
      <c r="A119" s="141"/>
      <c r="B119" s="141"/>
      <c r="C119" s="141"/>
      <c r="D119" s="141"/>
      <c r="E119" s="141"/>
      <c r="F119" s="141"/>
      <c r="G119" s="141"/>
      <c r="H119" s="141"/>
      <c r="I119" s="141"/>
      <c r="J119" s="141"/>
      <c r="K119" s="141"/>
      <c r="L119" s="141"/>
      <c r="M119" s="141"/>
      <c r="N119" s="141"/>
      <c r="O119" s="141"/>
      <c r="P119" s="141"/>
      <c r="Q119" s="141"/>
      <c r="R119" s="141"/>
      <c r="S119" s="141"/>
      <c r="T119" s="141"/>
      <c r="U119" s="141"/>
    </row>
    <row r="120" spans="1:21" x14ac:dyDescent="0.25">
      <c r="A120" s="141"/>
      <c r="B120" s="141"/>
      <c r="C120" s="141"/>
      <c r="D120" s="141"/>
      <c r="E120" s="141"/>
      <c r="F120" s="141"/>
      <c r="G120" s="141"/>
      <c r="H120" s="141"/>
      <c r="I120" s="141"/>
      <c r="J120" s="141"/>
      <c r="K120" s="141"/>
      <c r="L120" s="141"/>
      <c r="M120" s="141"/>
      <c r="N120" s="141"/>
      <c r="O120" s="141"/>
      <c r="P120" s="141"/>
      <c r="Q120" s="141"/>
      <c r="R120" s="141"/>
      <c r="S120" s="141"/>
      <c r="T120" s="141"/>
      <c r="U120" s="141"/>
    </row>
    <row r="121" spans="1:21" x14ac:dyDescent="0.25">
      <c r="A121" s="141"/>
      <c r="B121" s="141"/>
      <c r="C121" s="141"/>
      <c r="D121" s="141"/>
      <c r="E121" s="141"/>
      <c r="F121" s="141"/>
      <c r="G121" s="141"/>
      <c r="H121" s="141"/>
      <c r="I121" s="141"/>
      <c r="J121" s="141"/>
      <c r="K121" s="141"/>
      <c r="L121" s="141"/>
      <c r="M121" s="141"/>
      <c r="N121" s="141"/>
      <c r="O121" s="141"/>
      <c r="P121" s="141"/>
      <c r="Q121" s="141"/>
      <c r="R121" s="141"/>
      <c r="S121" s="141"/>
      <c r="T121" s="141"/>
      <c r="U121" s="141"/>
    </row>
    <row r="122" spans="1:21" x14ac:dyDescent="0.25">
      <c r="A122" s="141"/>
      <c r="B122" s="141"/>
      <c r="C122" s="141"/>
      <c r="D122" s="141"/>
      <c r="E122" s="141"/>
      <c r="F122" s="141"/>
      <c r="G122" s="141"/>
      <c r="H122" s="141"/>
      <c r="I122" s="141"/>
      <c r="J122" s="141"/>
      <c r="K122" s="141"/>
      <c r="L122" s="141"/>
      <c r="M122" s="141"/>
      <c r="N122" s="141"/>
      <c r="O122" s="141"/>
      <c r="P122" s="141"/>
      <c r="Q122" s="141"/>
      <c r="R122" s="141"/>
      <c r="S122" s="141"/>
      <c r="T122" s="141"/>
      <c r="U122" s="141"/>
    </row>
    <row r="123" spans="1:21" x14ac:dyDescent="0.25">
      <c r="A123" s="141"/>
      <c r="B123" s="141"/>
      <c r="C123" s="141"/>
      <c r="D123" s="141"/>
      <c r="E123" s="141"/>
      <c r="F123" s="141"/>
      <c r="G123" s="141"/>
      <c r="H123" s="141"/>
      <c r="I123" s="141"/>
      <c r="J123" s="141"/>
      <c r="K123" s="141"/>
      <c r="L123" s="141"/>
      <c r="M123" s="141"/>
      <c r="N123" s="141"/>
      <c r="O123" s="141"/>
      <c r="P123" s="141"/>
      <c r="Q123" s="141"/>
      <c r="R123" s="141"/>
      <c r="S123" s="141"/>
      <c r="T123" s="141"/>
      <c r="U123" s="141"/>
    </row>
    <row r="124" spans="1:21" x14ac:dyDescent="0.25">
      <c r="A124" s="141"/>
      <c r="B124" s="141"/>
      <c r="C124" s="141"/>
      <c r="D124" s="141"/>
      <c r="E124" s="141"/>
      <c r="F124" s="141"/>
      <c r="G124" s="141"/>
      <c r="H124" s="141"/>
      <c r="I124" s="141"/>
      <c r="J124" s="141"/>
      <c r="K124" s="141"/>
      <c r="L124" s="141"/>
      <c r="M124" s="141"/>
      <c r="N124" s="141"/>
      <c r="O124" s="141"/>
      <c r="P124" s="141"/>
      <c r="Q124" s="141"/>
      <c r="R124" s="141"/>
      <c r="S124" s="141"/>
      <c r="T124" s="141"/>
      <c r="U124" s="141"/>
    </row>
    <row r="125" spans="1:21" x14ac:dyDescent="0.25">
      <c r="A125" s="141"/>
      <c r="B125" s="141"/>
      <c r="C125" s="141"/>
      <c r="D125" s="141"/>
      <c r="E125" s="141"/>
      <c r="F125" s="141"/>
      <c r="G125" s="141"/>
      <c r="H125" s="141"/>
      <c r="I125" s="141"/>
      <c r="J125" s="141"/>
      <c r="K125" s="141"/>
      <c r="L125" s="141"/>
      <c r="M125" s="141"/>
      <c r="N125" s="141"/>
      <c r="O125" s="141"/>
      <c r="P125" s="141"/>
      <c r="Q125" s="141"/>
      <c r="R125" s="141"/>
      <c r="S125" s="141"/>
      <c r="T125" s="141"/>
      <c r="U125" s="141"/>
    </row>
    <row r="126" spans="1:21" x14ac:dyDescent="0.25">
      <c r="A126" s="141"/>
      <c r="B126" s="141"/>
      <c r="C126" s="141"/>
      <c r="D126" s="141"/>
      <c r="E126" s="141"/>
      <c r="F126" s="141"/>
      <c r="G126" s="141"/>
      <c r="H126" s="141"/>
      <c r="I126" s="141"/>
      <c r="J126" s="141"/>
      <c r="K126" s="141"/>
      <c r="L126" s="141"/>
      <c r="M126" s="141"/>
      <c r="N126" s="141"/>
      <c r="O126" s="141"/>
      <c r="P126" s="141"/>
      <c r="Q126" s="141"/>
      <c r="R126" s="141"/>
      <c r="S126" s="141"/>
      <c r="T126" s="141"/>
      <c r="U126" s="141"/>
    </row>
    <row r="127" spans="1:21" x14ac:dyDescent="0.25">
      <c r="A127" s="141"/>
      <c r="B127" s="141"/>
      <c r="C127" s="141"/>
      <c r="D127" s="141"/>
      <c r="E127" s="141"/>
      <c r="F127" s="141"/>
      <c r="G127" s="141"/>
      <c r="H127" s="141"/>
      <c r="I127" s="141"/>
      <c r="J127" s="141"/>
      <c r="K127" s="141"/>
      <c r="L127" s="141"/>
      <c r="M127" s="141"/>
      <c r="N127" s="141"/>
      <c r="O127" s="141"/>
      <c r="P127" s="141"/>
      <c r="Q127" s="141"/>
      <c r="R127" s="141"/>
      <c r="S127" s="141"/>
      <c r="T127" s="141"/>
      <c r="U127" s="141"/>
    </row>
    <row r="128" spans="1:21" x14ac:dyDescent="0.25">
      <c r="A128" s="141"/>
      <c r="B128" s="141"/>
      <c r="C128" s="141"/>
      <c r="D128" s="141"/>
      <c r="E128" s="141"/>
      <c r="F128" s="141"/>
      <c r="G128" s="141"/>
      <c r="H128" s="141"/>
      <c r="I128" s="141"/>
      <c r="J128" s="141"/>
      <c r="K128" s="141"/>
      <c r="L128" s="141"/>
      <c r="M128" s="141"/>
      <c r="N128" s="141"/>
      <c r="O128" s="141"/>
      <c r="P128" s="141"/>
      <c r="Q128" s="141"/>
      <c r="R128" s="141"/>
      <c r="S128" s="141"/>
      <c r="T128" s="141"/>
      <c r="U128" s="141"/>
    </row>
    <row r="129" spans="1:21" x14ac:dyDescent="0.25">
      <c r="A129" s="141"/>
      <c r="B129" s="141"/>
      <c r="C129" s="141"/>
      <c r="D129" s="141"/>
      <c r="E129" s="141"/>
      <c r="F129" s="141"/>
      <c r="G129" s="141"/>
      <c r="H129" s="141"/>
      <c r="I129" s="141"/>
      <c r="J129" s="141"/>
      <c r="K129" s="141"/>
      <c r="L129" s="141"/>
      <c r="M129" s="141"/>
      <c r="N129" s="141"/>
      <c r="O129" s="141"/>
      <c r="P129" s="141"/>
      <c r="Q129" s="141"/>
      <c r="R129" s="141"/>
      <c r="S129" s="141"/>
      <c r="T129" s="141"/>
      <c r="U129" s="141"/>
    </row>
    <row r="130" spans="1:21" x14ac:dyDescent="0.25">
      <c r="A130" s="141"/>
      <c r="B130" s="141"/>
      <c r="C130" s="141"/>
      <c r="D130" s="141"/>
      <c r="E130" s="141"/>
      <c r="F130" s="141"/>
      <c r="G130" s="141"/>
      <c r="H130" s="141"/>
      <c r="I130" s="141"/>
      <c r="J130" s="141"/>
      <c r="K130" s="141"/>
      <c r="L130" s="141"/>
      <c r="M130" s="141"/>
      <c r="N130" s="141"/>
      <c r="O130" s="141"/>
      <c r="P130" s="141"/>
      <c r="Q130" s="141"/>
      <c r="R130" s="141"/>
      <c r="S130" s="141"/>
      <c r="T130" s="141"/>
      <c r="U130" s="141"/>
    </row>
    <row r="131" spans="1:21" x14ac:dyDescent="0.25">
      <c r="A131" s="141"/>
      <c r="B131" s="141"/>
      <c r="C131" s="141"/>
      <c r="D131" s="141"/>
      <c r="E131" s="141"/>
      <c r="F131" s="141"/>
      <c r="G131" s="141"/>
      <c r="H131" s="141"/>
      <c r="I131" s="141"/>
      <c r="J131" s="141"/>
      <c r="K131" s="141"/>
      <c r="L131" s="141"/>
      <c r="M131" s="141"/>
      <c r="N131" s="141"/>
      <c r="O131" s="141"/>
      <c r="P131" s="141"/>
      <c r="Q131" s="141"/>
      <c r="R131" s="141"/>
      <c r="S131" s="141"/>
      <c r="T131" s="141"/>
      <c r="U131" s="141"/>
    </row>
    <row r="132" spans="1:21" x14ac:dyDescent="0.25">
      <c r="A132" s="141"/>
      <c r="B132" s="141"/>
      <c r="C132" s="141"/>
      <c r="D132" s="141"/>
      <c r="E132" s="141"/>
      <c r="F132" s="141"/>
      <c r="G132" s="141"/>
      <c r="H132" s="141"/>
      <c r="I132" s="141"/>
      <c r="J132" s="141"/>
      <c r="K132" s="141"/>
      <c r="L132" s="141"/>
      <c r="M132" s="141"/>
      <c r="N132" s="141"/>
      <c r="O132" s="141"/>
      <c r="P132" s="141"/>
      <c r="Q132" s="141"/>
      <c r="R132" s="141"/>
      <c r="S132" s="141"/>
      <c r="T132" s="141"/>
      <c r="U132" s="141"/>
    </row>
    <row r="133" spans="1:21" x14ac:dyDescent="0.25">
      <c r="A133" s="141"/>
      <c r="B133" s="141"/>
      <c r="C133" s="141"/>
      <c r="D133" s="141"/>
      <c r="E133" s="141"/>
      <c r="F133" s="141"/>
      <c r="G133" s="141"/>
      <c r="H133" s="141"/>
      <c r="I133" s="141"/>
      <c r="J133" s="141"/>
      <c r="K133" s="141"/>
      <c r="L133" s="141"/>
      <c r="M133" s="141"/>
      <c r="N133" s="141"/>
      <c r="O133" s="141"/>
      <c r="P133" s="141"/>
      <c r="Q133" s="141"/>
      <c r="R133" s="141"/>
      <c r="S133" s="141"/>
      <c r="T133" s="141"/>
      <c r="U133" s="141"/>
    </row>
    <row r="134" spans="1:21" x14ac:dyDescent="0.25">
      <c r="A134" s="141"/>
      <c r="B134" s="141"/>
      <c r="C134" s="141"/>
      <c r="D134" s="141"/>
      <c r="E134" s="141"/>
      <c r="F134" s="141"/>
      <c r="G134" s="141"/>
      <c r="H134" s="141"/>
      <c r="I134" s="141"/>
      <c r="J134" s="141"/>
      <c r="K134" s="141"/>
      <c r="L134" s="141"/>
      <c r="M134" s="141"/>
      <c r="N134" s="141"/>
      <c r="O134" s="141"/>
      <c r="P134" s="141"/>
      <c r="Q134" s="141"/>
      <c r="R134" s="141"/>
      <c r="S134" s="141"/>
      <c r="T134" s="141"/>
      <c r="U134" s="141"/>
    </row>
    <row r="135" spans="1:21" x14ac:dyDescent="0.25">
      <c r="A135" s="141"/>
      <c r="B135" s="141"/>
      <c r="C135" s="141"/>
      <c r="D135" s="141"/>
      <c r="E135" s="141"/>
      <c r="F135" s="141"/>
      <c r="G135" s="141"/>
      <c r="H135" s="141"/>
      <c r="I135" s="141"/>
      <c r="J135" s="141"/>
      <c r="K135" s="141"/>
      <c r="L135" s="141"/>
      <c r="M135" s="141"/>
      <c r="N135" s="141"/>
      <c r="O135" s="141"/>
      <c r="P135" s="141"/>
      <c r="Q135" s="141"/>
      <c r="R135" s="141"/>
      <c r="S135" s="141"/>
      <c r="T135" s="141"/>
      <c r="U135" s="141"/>
    </row>
    <row r="136" spans="1:21" x14ac:dyDescent="0.25">
      <c r="A136" s="141"/>
      <c r="B136" s="141"/>
      <c r="C136" s="141"/>
      <c r="D136" s="141"/>
      <c r="E136" s="141"/>
      <c r="F136" s="141"/>
      <c r="G136" s="141"/>
      <c r="H136" s="141"/>
      <c r="I136" s="141"/>
      <c r="J136" s="141"/>
      <c r="K136" s="141"/>
      <c r="L136" s="141"/>
      <c r="M136" s="141"/>
      <c r="N136" s="141"/>
      <c r="O136" s="141"/>
      <c r="P136" s="141"/>
      <c r="Q136" s="141"/>
      <c r="R136" s="141"/>
      <c r="S136" s="141"/>
      <c r="T136" s="141"/>
      <c r="U136" s="141"/>
    </row>
    <row r="137" spans="1:21" x14ac:dyDescent="0.25">
      <c r="A137" s="141"/>
      <c r="B137" s="141"/>
      <c r="C137" s="141"/>
      <c r="D137" s="141"/>
      <c r="E137" s="141"/>
      <c r="F137" s="141"/>
      <c r="G137" s="141"/>
      <c r="H137" s="141"/>
      <c r="I137" s="141"/>
      <c r="J137" s="141"/>
      <c r="K137" s="141"/>
      <c r="L137" s="141"/>
      <c r="M137" s="141"/>
      <c r="N137" s="141"/>
      <c r="O137" s="141"/>
      <c r="P137" s="141"/>
      <c r="Q137" s="141"/>
      <c r="R137" s="141"/>
      <c r="S137" s="141"/>
      <c r="T137" s="141"/>
      <c r="U137" s="141"/>
    </row>
    <row r="138" spans="1:21" x14ac:dyDescent="0.25">
      <c r="A138" s="141"/>
      <c r="B138" s="141"/>
      <c r="C138" s="141"/>
      <c r="D138" s="141"/>
      <c r="E138" s="141"/>
      <c r="F138" s="141"/>
      <c r="G138" s="141"/>
      <c r="H138" s="141"/>
      <c r="I138" s="141"/>
      <c r="J138" s="141"/>
      <c r="K138" s="141"/>
      <c r="L138" s="141"/>
      <c r="M138" s="141"/>
      <c r="N138" s="141"/>
      <c r="O138" s="141"/>
      <c r="P138" s="141"/>
      <c r="Q138" s="141"/>
      <c r="R138" s="141"/>
      <c r="S138" s="141"/>
      <c r="T138" s="141"/>
      <c r="U138" s="141"/>
    </row>
    <row r="139" spans="1:21" x14ac:dyDescent="0.25">
      <c r="A139" s="141"/>
      <c r="B139" s="141"/>
      <c r="C139" s="141"/>
      <c r="D139" s="141"/>
      <c r="E139" s="141"/>
      <c r="F139" s="141"/>
      <c r="G139" s="141"/>
      <c r="H139" s="141"/>
      <c r="I139" s="141"/>
      <c r="J139" s="141"/>
      <c r="K139" s="141"/>
      <c r="L139" s="141"/>
      <c r="M139" s="141"/>
      <c r="N139" s="141"/>
      <c r="O139" s="141"/>
      <c r="P139" s="141"/>
      <c r="Q139" s="141"/>
      <c r="R139" s="141"/>
      <c r="S139" s="141"/>
      <c r="T139" s="141"/>
      <c r="U139" s="141"/>
    </row>
    <row r="140" spans="1:21" x14ac:dyDescent="0.25">
      <c r="A140" s="141"/>
      <c r="B140" s="141"/>
      <c r="C140" s="141"/>
      <c r="D140" s="141"/>
      <c r="E140" s="141"/>
      <c r="F140" s="141"/>
      <c r="G140" s="141"/>
      <c r="H140" s="141"/>
      <c r="I140" s="141"/>
      <c r="J140" s="141"/>
      <c r="K140" s="141"/>
      <c r="L140" s="141"/>
      <c r="M140" s="141"/>
      <c r="N140" s="141"/>
      <c r="O140" s="141"/>
      <c r="P140" s="141"/>
      <c r="Q140" s="141"/>
      <c r="R140" s="141"/>
      <c r="S140" s="141"/>
      <c r="T140" s="141"/>
      <c r="U140" s="141"/>
    </row>
    <row r="141" spans="1:21" x14ac:dyDescent="0.25">
      <c r="A141" s="141"/>
      <c r="B141" s="141"/>
      <c r="C141" s="141"/>
      <c r="D141" s="141"/>
      <c r="E141" s="141"/>
      <c r="F141" s="141"/>
      <c r="G141" s="141"/>
      <c r="H141" s="141"/>
      <c r="I141" s="141"/>
      <c r="J141" s="141"/>
      <c r="K141" s="141"/>
      <c r="L141" s="141"/>
      <c r="M141" s="141"/>
      <c r="N141" s="141"/>
      <c r="O141" s="141"/>
      <c r="P141" s="141"/>
      <c r="Q141" s="141"/>
      <c r="R141" s="141"/>
      <c r="S141" s="141"/>
      <c r="T141" s="141"/>
      <c r="U141" s="141"/>
    </row>
    <row r="142" spans="1:21" x14ac:dyDescent="0.25">
      <c r="A142" s="141"/>
      <c r="B142" s="141"/>
      <c r="C142" s="141"/>
      <c r="D142" s="141"/>
      <c r="E142" s="141"/>
      <c r="F142" s="141"/>
      <c r="G142" s="141"/>
      <c r="H142" s="141"/>
      <c r="I142" s="141"/>
      <c r="J142" s="141"/>
      <c r="K142" s="141"/>
      <c r="L142" s="141"/>
      <c r="M142" s="141"/>
      <c r="N142" s="141"/>
      <c r="O142" s="141"/>
      <c r="P142" s="141"/>
      <c r="Q142" s="141"/>
      <c r="R142" s="141"/>
      <c r="S142" s="141"/>
      <c r="T142" s="141"/>
      <c r="U142" s="141"/>
    </row>
    <row r="143" spans="1:21" x14ac:dyDescent="0.25">
      <c r="A143" s="141"/>
      <c r="B143" s="141"/>
      <c r="C143" s="141"/>
      <c r="D143" s="141"/>
      <c r="E143" s="141"/>
      <c r="F143" s="141"/>
      <c r="G143" s="141"/>
      <c r="H143" s="141"/>
      <c r="I143" s="141"/>
      <c r="J143" s="141"/>
      <c r="K143" s="141"/>
      <c r="L143" s="141"/>
      <c r="M143" s="141"/>
      <c r="N143" s="141"/>
      <c r="O143" s="141"/>
      <c r="P143" s="141"/>
      <c r="Q143" s="141"/>
      <c r="R143" s="141"/>
      <c r="S143" s="141"/>
      <c r="T143" s="141"/>
      <c r="U143" s="141"/>
    </row>
    <row r="144" spans="1:21" x14ac:dyDescent="0.25">
      <c r="A144" s="141"/>
      <c r="B144" s="141"/>
      <c r="C144" s="141"/>
      <c r="D144" s="141"/>
      <c r="E144" s="141"/>
      <c r="F144" s="141"/>
      <c r="G144" s="141"/>
      <c r="H144" s="141"/>
      <c r="I144" s="141"/>
      <c r="J144" s="141"/>
      <c r="K144" s="141"/>
      <c r="L144" s="141"/>
      <c r="M144" s="141"/>
      <c r="N144" s="141"/>
      <c r="O144" s="141"/>
      <c r="P144" s="141"/>
      <c r="Q144" s="141"/>
      <c r="R144" s="141"/>
      <c r="S144" s="141"/>
      <c r="T144" s="141"/>
      <c r="U144" s="141"/>
    </row>
    <row r="145" spans="1:21" x14ac:dyDescent="0.25">
      <c r="A145" s="141"/>
      <c r="B145" s="141"/>
      <c r="C145" s="141"/>
      <c r="D145" s="141"/>
      <c r="E145" s="141"/>
      <c r="F145" s="141"/>
      <c r="G145" s="141"/>
      <c r="H145" s="141"/>
      <c r="I145" s="141"/>
      <c r="J145" s="141"/>
      <c r="K145" s="141"/>
      <c r="L145" s="141"/>
      <c r="M145" s="141"/>
      <c r="N145" s="141"/>
      <c r="O145" s="141"/>
      <c r="P145" s="141"/>
      <c r="Q145" s="141"/>
      <c r="R145" s="141"/>
      <c r="S145" s="141"/>
      <c r="T145" s="141"/>
      <c r="U145" s="141"/>
    </row>
    <row r="146" spans="1:21" x14ac:dyDescent="0.25">
      <c r="A146" s="141"/>
      <c r="B146" s="141"/>
      <c r="C146" s="141"/>
      <c r="D146" s="141"/>
      <c r="E146" s="141"/>
      <c r="F146" s="141"/>
      <c r="G146" s="141"/>
      <c r="H146" s="141"/>
      <c r="I146" s="141"/>
      <c r="J146" s="141"/>
      <c r="K146" s="141"/>
      <c r="L146" s="141"/>
      <c r="M146" s="141"/>
      <c r="N146" s="141"/>
      <c r="O146" s="141"/>
      <c r="P146" s="141"/>
      <c r="Q146" s="141"/>
      <c r="R146" s="141"/>
      <c r="S146" s="141"/>
      <c r="T146" s="141"/>
      <c r="U146" s="141"/>
    </row>
    <row r="147" spans="1:21" x14ac:dyDescent="0.25">
      <c r="A147" s="141"/>
      <c r="B147" s="141"/>
      <c r="C147" s="141"/>
      <c r="D147" s="141"/>
      <c r="E147" s="141"/>
      <c r="F147" s="141"/>
      <c r="G147" s="141"/>
      <c r="H147" s="141"/>
      <c r="I147" s="141"/>
      <c r="J147" s="141"/>
      <c r="K147" s="141"/>
      <c r="L147" s="141"/>
      <c r="M147" s="141"/>
      <c r="N147" s="141"/>
      <c r="O147" s="141"/>
      <c r="P147" s="141"/>
      <c r="Q147" s="141"/>
      <c r="R147" s="141"/>
      <c r="S147" s="141"/>
      <c r="T147" s="141"/>
      <c r="U147" s="141"/>
    </row>
    <row r="148" spans="1:21" x14ac:dyDescent="0.25">
      <c r="A148" s="141"/>
      <c r="B148" s="141"/>
      <c r="C148" s="141"/>
      <c r="D148" s="141"/>
      <c r="E148" s="141"/>
      <c r="F148" s="141"/>
      <c r="G148" s="141"/>
      <c r="H148" s="141"/>
      <c r="I148" s="141"/>
      <c r="J148" s="141"/>
      <c r="K148" s="141"/>
      <c r="L148" s="141"/>
      <c r="M148" s="141"/>
      <c r="N148" s="141"/>
      <c r="O148" s="141"/>
      <c r="P148" s="141"/>
      <c r="Q148" s="141"/>
      <c r="R148" s="141"/>
      <c r="S148" s="141"/>
      <c r="T148" s="141"/>
      <c r="U148" s="141"/>
    </row>
    <row r="149" spans="1:21" x14ac:dyDescent="0.25">
      <c r="A149" s="141"/>
      <c r="B149" s="141"/>
      <c r="C149" s="141"/>
      <c r="D149" s="141"/>
      <c r="E149" s="141"/>
      <c r="F149" s="141"/>
      <c r="G149" s="141"/>
      <c r="H149" s="141"/>
      <c r="I149" s="141"/>
      <c r="J149" s="141"/>
      <c r="K149" s="141"/>
      <c r="L149" s="141"/>
      <c r="M149" s="141"/>
      <c r="N149" s="141"/>
      <c r="O149" s="141"/>
      <c r="P149" s="141"/>
      <c r="Q149" s="141"/>
      <c r="R149" s="141"/>
      <c r="S149" s="141"/>
      <c r="T149" s="141"/>
      <c r="U149" s="141"/>
    </row>
    <row r="150" spans="1:21" x14ac:dyDescent="0.25">
      <c r="A150" s="141"/>
      <c r="B150" s="141"/>
      <c r="C150" s="141"/>
      <c r="D150" s="141"/>
      <c r="E150" s="141"/>
      <c r="F150" s="141"/>
      <c r="G150" s="141"/>
      <c r="H150" s="141"/>
      <c r="I150" s="141"/>
      <c r="J150" s="141"/>
      <c r="K150" s="141"/>
      <c r="L150" s="141"/>
      <c r="M150" s="141"/>
      <c r="N150" s="141"/>
      <c r="O150" s="141"/>
      <c r="P150" s="141"/>
      <c r="Q150" s="141"/>
      <c r="R150" s="141"/>
      <c r="S150" s="141"/>
      <c r="T150" s="141"/>
      <c r="U150" s="141"/>
    </row>
    <row r="151" spans="1:21" x14ac:dyDescent="0.25">
      <c r="A151" s="141"/>
      <c r="B151" s="141"/>
      <c r="C151" s="141"/>
      <c r="D151" s="141"/>
      <c r="E151" s="141"/>
      <c r="F151" s="141"/>
      <c r="G151" s="141"/>
      <c r="H151" s="141"/>
      <c r="I151" s="141"/>
      <c r="J151" s="141"/>
      <c r="K151" s="141"/>
      <c r="L151" s="141"/>
      <c r="M151" s="141"/>
      <c r="N151" s="141"/>
      <c r="O151" s="141"/>
      <c r="P151" s="141"/>
      <c r="Q151" s="141"/>
      <c r="R151" s="141"/>
      <c r="S151" s="141"/>
      <c r="T151" s="141"/>
      <c r="U151" s="141"/>
    </row>
    <row r="152" spans="1:21" x14ac:dyDescent="0.25">
      <c r="A152" s="141"/>
      <c r="B152" s="141"/>
      <c r="C152" s="141"/>
      <c r="D152" s="141"/>
      <c r="E152" s="141"/>
      <c r="F152" s="141"/>
      <c r="G152" s="141"/>
      <c r="H152" s="141"/>
      <c r="I152" s="141"/>
      <c r="J152" s="141"/>
      <c r="K152" s="141"/>
      <c r="L152" s="141"/>
      <c r="M152" s="141"/>
      <c r="N152" s="141"/>
      <c r="O152" s="141"/>
      <c r="P152" s="141"/>
      <c r="Q152" s="141"/>
      <c r="R152" s="141"/>
      <c r="S152" s="141"/>
      <c r="T152" s="141"/>
      <c r="U152" s="141"/>
    </row>
    <row r="153" spans="1:21" x14ac:dyDescent="0.25">
      <c r="A153" s="141"/>
      <c r="B153" s="141"/>
      <c r="C153" s="141"/>
      <c r="D153" s="141"/>
      <c r="E153" s="141"/>
      <c r="F153" s="141"/>
      <c r="G153" s="141"/>
      <c r="H153" s="141"/>
      <c r="I153" s="141"/>
      <c r="J153" s="141"/>
      <c r="K153" s="141"/>
      <c r="L153" s="141"/>
      <c r="M153" s="141"/>
      <c r="N153" s="141"/>
      <c r="O153" s="141"/>
      <c r="P153" s="141"/>
      <c r="Q153" s="141"/>
      <c r="R153" s="141"/>
      <c r="S153" s="141"/>
      <c r="T153" s="141"/>
      <c r="U153" s="141"/>
    </row>
    <row r="154" spans="1:21" x14ac:dyDescent="0.25">
      <c r="A154" s="141"/>
      <c r="B154" s="141"/>
      <c r="C154" s="141"/>
      <c r="D154" s="141"/>
      <c r="E154" s="141"/>
      <c r="F154" s="141"/>
      <c r="G154" s="141"/>
      <c r="H154" s="141"/>
      <c r="I154" s="141"/>
      <c r="J154" s="141"/>
      <c r="K154" s="141"/>
      <c r="L154" s="141"/>
      <c r="M154" s="141"/>
      <c r="N154" s="141"/>
      <c r="O154" s="141"/>
      <c r="P154" s="141"/>
      <c r="Q154" s="141"/>
      <c r="R154" s="141"/>
      <c r="S154" s="141"/>
      <c r="T154" s="141"/>
      <c r="U154" s="141"/>
    </row>
    <row r="155" spans="1:21" x14ac:dyDescent="0.25">
      <c r="A155" s="141"/>
      <c r="B155" s="141"/>
      <c r="C155" s="141"/>
      <c r="D155" s="141"/>
      <c r="E155" s="141"/>
      <c r="F155" s="141"/>
      <c r="G155" s="141"/>
      <c r="H155" s="141"/>
      <c r="I155" s="141"/>
      <c r="J155" s="141"/>
      <c r="K155" s="141"/>
      <c r="L155" s="141"/>
      <c r="M155" s="141"/>
      <c r="N155" s="141"/>
      <c r="O155" s="141"/>
      <c r="P155" s="141"/>
      <c r="Q155" s="141"/>
      <c r="R155" s="141"/>
      <c r="S155" s="141"/>
      <c r="T155" s="141"/>
      <c r="U155" s="141"/>
    </row>
    <row r="156" spans="1:21" x14ac:dyDescent="0.25">
      <c r="A156" s="141"/>
      <c r="B156" s="141"/>
      <c r="C156" s="141"/>
      <c r="D156" s="141"/>
      <c r="E156" s="141"/>
      <c r="F156" s="141"/>
      <c r="G156" s="141"/>
      <c r="H156" s="141"/>
      <c r="I156" s="141"/>
      <c r="J156" s="141"/>
      <c r="K156" s="141"/>
      <c r="L156" s="141"/>
      <c r="M156" s="141"/>
      <c r="N156" s="141"/>
      <c r="O156" s="141"/>
      <c r="P156" s="141"/>
      <c r="Q156" s="141"/>
      <c r="R156" s="141"/>
      <c r="S156" s="141"/>
      <c r="T156" s="141"/>
      <c r="U156" s="141"/>
    </row>
    <row r="157" spans="1:21" x14ac:dyDescent="0.25">
      <c r="A157" s="141"/>
      <c r="B157" s="141"/>
      <c r="C157" s="141"/>
      <c r="D157" s="141"/>
      <c r="E157" s="141"/>
      <c r="F157" s="141"/>
      <c r="G157" s="141"/>
      <c r="H157" s="141"/>
      <c r="I157" s="141"/>
      <c r="J157" s="141"/>
      <c r="K157" s="141"/>
      <c r="L157" s="141"/>
      <c r="M157" s="141"/>
      <c r="N157" s="141"/>
      <c r="O157" s="141"/>
      <c r="P157" s="141"/>
      <c r="Q157" s="141"/>
      <c r="R157" s="141"/>
      <c r="S157" s="141"/>
      <c r="T157" s="141"/>
      <c r="U157" s="141"/>
    </row>
    <row r="158" spans="1:21" x14ac:dyDescent="0.25">
      <c r="A158" s="141"/>
      <c r="B158" s="141"/>
      <c r="C158" s="141"/>
      <c r="D158" s="141"/>
      <c r="E158" s="141"/>
      <c r="F158" s="141"/>
      <c r="G158" s="141"/>
      <c r="H158" s="141"/>
      <c r="I158" s="141"/>
      <c r="J158" s="141"/>
      <c r="K158" s="141"/>
      <c r="L158" s="141"/>
      <c r="M158" s="141"/>
      <c r="N158" s="141"/>
      <c r="O158" s="141"/>
      <c r="P158" s="141"/>
      <c r="Q158" s="141"/>
      <c r="R158" s="141"/>
      <c r="S158" s="141"/>
      <c r="T158" s="141"/>
      <c r="U158" s="141"/>
    </row>
    <row r="159" spans="1:21" x14ac:dyDescent="0.25">
      <c r="A159" s="141"/>
      <c r="B159" s="141"/>
      <c r="C159" s="141"/>
      <c r="D159" s="141"/>
      <c r="E159" s="141"/>
      <c r="F159" s="141"/>
      <c r="G159" s="141"/>
      <c r="H159" s="141"/>
      <c r="I159" s="141"/>
      <c r="J159" s="141"/>
      <c r="K159" s="141"/>
      <c r="L159" s="141"/>
      <c r="M159" s="141"/>
      <c r="N159" s="141"/>
      <c r="O159" s="141"/>
      <c r="P159" s="141"/>
      <c r="Q159" s="141"/>
      <c r="R159" s="141"/>
      <c r="S159" s="141"/>
      <c r="T159" s="141"/>
      <c r="U159" s="141"/>
    </row>
    <row r="160" spans="1:21" x14ac:dyDescent="0.25">
      <c r="A160" s="141"/>
      <c r="B160" s="141"/>
      <c r="C160" s="141"/>
      <c r="D160" s="141"/>
      <c r="E160" s="141"/>
      <c r="F160" s="141"/>
      <c r="G160" s="141"/>
      <c r="H160" s="141"/>
      <c r="I160" s="141"/>
      <c r="J160" s="141"/>
      <c r="K160" s="141"/>
      <c r="L160" s="141"/>
      <c r="M160" s="141"/>
      <c r="N160" s="141"/>
      <c r="O160" s="141"/>
      <c r="P160" s="141"/>
      <c r="Q160" s="141"/>
      <c r="R160" s="141"/>
      <c r="S160" s="141"/>
      <c r="T160" s="141"/>
      <c r="U160" s="141"/>
    </row>
    <row r="161" spans="1:21" x14ac:dyDescent="0.25">
      <c r="A161" s="141"/>
      <c r="B161" s="141"/>
      <c r="C161" s="141"/>
      <c r="D161" s="141"/>
      <c r="E161" s="141"/>
      <c r="F161" s="141"/>
      <c r="G161" s="141"/>
      <c r="H161" s="141"/>
      <c r="I161" s="141"/>
      <c r="J161" s="141"/>
      <c r="K161" s="141"/>
      <c r="L161" s="141"/>
      <c r="M161" s="141"/>
      <c r="N161" s="141"/>
      <c r="O161" s="141"/>
      <c r="P161" s="141"/>
      <c r="Q161" s="141"/>
      <c r="R161" s="141"/>
      <c r="S161" s="141"/>
      <c r="T161" s="141"/>
      <c r="U161" s="141"/>
    </row>
    <row r="162" spans="1:21" x14ac:dyDescent="0.25">
      <c r="A162" s="141"/>
      <c r="B162" s="141"/>
      <c r="C162" s="141"/>
      <c r="D162" s="141"/>
      <c r="E162" s="141"/>
      <c r="F162" s="141"/>
      <c r="G162" s="141"/>
      <c r="H162" s="141"/>
      <c r="I162" s="141"/>
      <c r="J162" s="141"/>
      <c r="K162" s="141"/>
      <c r="L162" s="141"/>
      <c r="M162" s="141"/>
      <c r="N162" s="141"/>
      <c r="O162" s="141"/>
      <c r="P162" s="141"/>
      <c r="Q162" s="141"/>
      <c r="R162" s="141"/>
      <c r="S162" s="141"/>
      <c r="T162" s="141"/>
      <c r="U162" s="141"/>
    </row>
    <row r="163" spans="1:21" x14ac:dyDescent="0.25">
      <c r="A163" s="141"/>
      <c r="B163" s="141"/>
      <c r="C163" s="141"/>
      <c r="D163" s="141"/>
      <c r="E163" s="141"/>
      <c r="F163" s="141"/>
      <c r="G163" s="141"/>
      <c r="H163" s="141"/>
      <c r="I163" s="141"/>
      <c r="J163" s="141"/>
      <c r="K163" s="141"/>
      <c r="L163" s="141"/>
      <c r="M163" s="141"/>
      <c r="N163" s="141"/>
      <c r="O163" s="141"/>
      <c r="P163" s="141"/>
      <c r="Q163" s="141"/>
      <c r="R163" s="141"/>
      <c r="S163" s="141"/>
      <c r="T163" s="141"/>
      <c r="U163" s="141"/>
    </row>
    <row r="164" spans="1:21" x14ac:dyDescent="0.25">
      <c r="A164" s="141"/>
      <c r="B164" s="141"/>
      <c r="C164" s="141"/>
      <c r="D164" s="141"/>
      <c r="E164" s="141"/>
      <c r="F164" s="141"/>
      <c r="G164" s="141"/>
      <c r="H164" s="141"/>
      <c r="I164" s="141"/>
      <c r="J164" s="141"/>
      <c r="K164" s="141"/>
      <c r="L164" s="141"/>
      <c r="M164" s="141"/>
      <c r="N164" s="141"/>
      <c r="O164" s="141"/>
      <c r="P164" s="141"/>
      <c r="Q164" s="141"/>
      <c r="R164" s="141"/>
      <c r="S164" s="141"/>
      <c r="T164" s="141"/>
      <c r="U164" s="141"/>
    </row>
    <row r="165" spans="1:21" x14ac:dyDescent="0.25">
      <c r="A165" s="141"/>
      <c r="B165" s="141"/>
      <c r="C165" s="141"/>
      <c r="D165" s="141"/>
      <c r="E165" s="141"/>
      <c r="F165" s="141"/>
      <c r="G165" s="141"/>
      <c r="H165" s="141"/>
      <c r="I165" s="141"/>
      <c r="J165" s="141"/>
      <c r="K165" s="141"/>
      <c r="L165" s="141"/>
      <c r="M165" s="141"/>
      <c r="N165" s="141"/>
      <c r="O165" s="141"/>
      <c r="P165" s="141"/>
      <c r="Q165" s="141"/>
      <c r="R165" s="141"/>
      <c r="S165" s="141"/>
      <c r="T165" s="141"/>
      <c r="U165" s="141"/>
    </row>
    <row r="166" spans="1:21" x14ac:dyDescent="0.25">
      <c r="A166" s="141"/>
      <c r="B166" s="141"/>
      <c r="C166" s="141"/>
      <c r="D166" s="141"/>
      <c r="E166" s="141"/>
      <c r="F166" s="141"/>
      <c r="G166" s="141"/>
      <c r="H166" s="141"/>
      <c r="I166" s="141"/>
      <c r="J166" s="141"/>
      <c r="K166" s="141"/>
      <c r="L166" s="141"/>
      <c r="M166" s="141"/>
      <c r="N166" s="141"/>
      <c r="O166" s="141"/>
      <c r="P166" s="141"/>
      <c r="Q166" s="141"/>
      <c r="R166" s="141"/>
      <c r="S166" s="141"/>
      <c r="T166" s="141"/>
      <c r="U166" s="141"/>
    </row>
    <row r="167" spans="1:21" x14ac:dyDescent="0.25">
      <c r="A167" s="141"/>
      <c r="B167" s="141"/>
      <c r="C167" s="141"/>
      <c r="D167" s="141"/>
      <c r="E167" s="141"/>
      <c r="F167" s="141"/>
      <c r="G167" s="141"/>
      <c r="H167" s="141"/>
      <c r="I167" s="141"/>
      <c r="J167" s="141"/>
      <c r="K167" s="141"/>
      <c r="L167" s="141"/>
      <c r="M167" s="141"/>
      <c r="N167" s="141"/>
      <c r="O167" s="141"/>
      <c r="P167" s="141"/>
      <c r="Q167" s="141"/>
      <c r="R167" s="141"/>
      <c r="S167" s="141"/>
      <c r="T167" s="141"/>
      <c r="U167" s="141"/>
    </row>
    <row r="168" spans="1:21" x14ac:dyDescent="0.25">
      <c r="A168" s="141"/>
      <c r="B168" s="141"/>
      <c r="C168" s="141"/>
      <c r="D168" s="141"/>
      <c r="E168" s="141"/>
      <c r="F168" s="141"/>
      <c r="G168" s="141"/>
      <c r="H168" s="141"/>
      <c r="I168" s="141"/>
      <c r="J168" s="141"/>
      <c r="K168" s="141"/>
      <c r="L168" s="141"/>
      <c r="M168" s="141"/>
      <c r="N168" s="141"/>
      <c r="O168" s="141"/>
      <c r="P168" s="141"/>
      <c r="Q168" s="141"/>
      <c r="R168" s="141"/>
      <c r="S168" s="141"/>
      <c r="T168" s="141"/>
      <c r="U168" s="141"/>
    </row>
    <row r="169" spans="1:21" x14ac:dyDescent="0.25">
      <c r="A169" s="141"/>
      <c r="B169" s="141"/>
      <c r="C169" s="141"/>
      <c r="D169" s="141"/>
      <c r="E169" s="141"/>
      <c r="F169" s="141"/>
      <c r="G169" s="141"/>
      <c r="H169" s="141"/>
      <c r="I169" s="141"/>
      <c r="J169" s="141"/>
      <c r="K169" s="141"/>
      <c r="L169" s="141"/>
      <c r="M169" s="141"/>
      <c r="N169" s="141"/>
      <c r="O169" s="141"/>
      <c r="P169" s="141"/>
      <c r="Q169" s="141"/>
      <c r="R169" s="141"/>
      <c r="S169" s="141"/>
      <c r="T169" s="141"/>
      <c r="U169" s="141"/>
    </row>
    <row r="170" spans="1:21" x14ac:dyDescent="0.25">
      <c r="A170" s="141"/>
      <c r="B170" s="141"/>
      <c r="C170" s="141"/>
      <c r="D170" s="141"/>
      <c r="E170" s="141"/>
      <c r="F170" s="141"/>
      <c r="G170" s="141"/>
      <c r="H170" s="141"/>
      <c r="I170" s="141"/>
      <c r="J170" s="141"/>
      <c r="K170" s="141"/>
      <c r="L170" s="141"/>
      <c r="M170" s="141"/>
      <c r="N170" s="141"/>
      <c r="O170" s="141"/>
      <c r="P170" s="141"/>
      <c r="Q170" s="141"/>
      <c r="R170" s="141"/>
      <c r="S170" s="141"/>
      <c r="T170" s="141"/>
      <c r="U170" s="141"/>
    </row>
    <row r="171" spans="1:21" x14ac:dyDescent="0.25">
      <c r="A171" s="141"/>
      <c r="B171" s="141"/>
      <c r="C171" s="141"/>
      <c r="D171" s="141"/>
      <c r="E171" s="141"/>
      <c r="F171" s="141"/>
      <c r="G171" s="141"/>
      <c r="H171" s="141"/>
      <c r="I171" s="141"/>
      <c r="J171" s="141"/>
      <c r="K171" s="141"/>
      <c r="L171" s="141"/>
      <c r="M171" s="141"/>
      <c r="N171" s="141"/>
      <c r="O171" s="141"/>
      <c r="P171" s="141"/>
      <c r="Q171" s="141"/>
      <c r="R171" s="141"/>
      <c r="S171" s="141"/>
      <c r="T171" s="141"/>
      <c r="U171" s="141"/>
    </row>
    <row r="172" spans="1:21" x14ac:dyDescent="0.25">
      <c r="A172" s="141"/>
      <c r="B172" s="141"/>
      <c r="C172" s="141"/>
      <c r="D172" s="141"/>
      <c r="E172" s="141"/>
      <c r="F172" s="141"/>
      <c r="G172" s="141"/>
      <c r="H172" s="141"/>
      <c r="I172" s="141"/>
      <c r="J172" s="141"/>
      <c r="K172" s="141"/>
      <c r="L172" s="141"/>
      <c r="M172" s="141"/>
      <c r="N172" s="141"/>
      <c r="O172" s="141"/>
      <c r="P172" s="141"/>
      <c r="Q172" s="141"/>
      <c r="R172" s="141"/>
      <c r="S172" s="141"/>
      <c r="T172" s="141"/>
      <c r="U172" s="141"/>
    </row>
    <row r="173" spans="1:21" x14ac:dyDescent="0.25">
      <c r="A173" s="141"/>
      <c r="B173" s="141"/>
      <c r="C173" s="141"/>
      <c r="D173" s="141"/>
      <c r="E173" s="141"/>
      <c r="F173" s="141"/>
      <c r="G173" s="141"/>
      <c r="H173" s="141"/>
      <c r="I173" s="141"/>
      <c r="J173" s="141"/>
      <c r="K173" s="141"/>
      <c r="L173" s="141"/>
      <c r="M173" s="141"/>
      <c r="N173" s="141"/>
      <c r="O173" s="141"/>
      <c r="P173" s="141"/>
      <c r="Q173" s="141"/>
      <c r="R173" s="141"/>
      <c r="S173" s="141"/>
      <c r="T173" s="141"/>
      <c r="U173" s="141"/>
    </row>
    <row r="174" spans="1:21" x14ac:dyDescent="0.25">
      <c r="A174" s="141"/>
      <c r="B174" s="141"/>
      <c r="C174" s="141"/>
      <c r="D174" s="141"/>
      <c r="E174" s="141"/>
      <c r="F174" s="141"/>
      <c r="G174" s="141"/>
      <c r="H174" s="141"/>
      <c r="I174" s="141"/>
      <c r="J174" s="141"/>
      <c r="K174" s="141"/>
      <c r="L174" s="141"/>
      <c r="M174" s="141"/>
      <c r="N174" s="141"/>
      <c r="O174" s="141"/>
      <c r="P174" s="141"/>
      <c r="Q174" s="141"/>
      <c r="R174" s="141"/>
      <c r="S174" s="141"/>
      <c r="T174" s="141"/>
      <c r="U174" s="141"/>
    </row>
    <row r="175" spans="1:21" x14ac:dyDescent="0.25">
      <c r="A175" s="141"/>
      <c r="B175" s="141"/>
      <c r="C175" s="141"/>
      <c r="D175" s="141"/>
      <c r="E175" s="141"/>
      <c r="F175" s="141"/>
      <c r="G175" s="141"/>
      <c r="H175" s="141"/>
      <c r="I175" s="141"/>
      <c r="J175" s="141"/>
      <c r="K175" s="141"/>
      <c r="L175" s="141"/>
      <c r="M175" s="141"/>
      <c r="N175" s="141"/>
      <c r="O175" s="141"/>
      <c r="P175" s="141"/>
      <c r="Q175" s="141"/>
      <c r="R175" s="141"/>
      <c r="S175" s="141"/>
      <c r="T175" s="141"/>
      <c r="U175" s="141"/>
    </row>
    <row r="176" spans="1:21" x14ac:dyDescent="0.25">
      <c r="A176" s="141"/>
      <c r="B176" s="141"/>
      <c r="C176" s="141"/>
      <c r="D176" s="141"/>
      <c r="E176" s="141"/>
      <c r="F176" s="141"/>
      <c r="G176" s="141"/>
      <c r="H176" s="141"/>
      <c r="I176" s="141"/>
      <c r="J176" s="141"/>
      <c r="K176" s="141"/>
      <c r="L176" s="141"/>
      <c r="M176" s="141"/>
      <c r="N176" s="141"/>
      <c r="O176" s="141"/>
      <c r="P176" s="141"/>
      <c r="Q176" s="141"/>
      <c r="R176" s="141"/>
      <c r="S176" s="141"/>
      <c r="T176" s="141"/>
      <c r="U176" s="141"/>
    </row>
    <row r="177" spans="1:21" x14ac:dyDescent="0.25">
      <c r="A177" s="141"/>
      <c r="B177" s="141"/>
      <c r="C177" s="141"/>
      <c r="D177" s="141"/>
      <c r="E177" s="141"/>
      <c r="F177" s="141"/>
      <c r="G177" s="141"/>
      <c r="H177" s="141"/>
      <c r="I177" s="141"/>
      <c r="J177" s="141"/>
      <c r="K177" s="141"/>
      <c r="L177" s="141"/>
      <c r="M177" s="141"/>
      <c r="N177" s="141"/>
      <c r="O177" s="141"/>
      <c r="P177" s="141"/>
      <c r="Q177" s="141"/>
      <c r="R177" s="141"/>
      <c r="S177" s="141"/>
      <c r="T177" s="141"/>
      <c r="U177" s="141"/>
    </row>
    <row r="178" spans="1:21" x14ac:dyDescent="0.25">
      <c r="A178" s="141"/>
      <c r="B178" s="141"/>
      <c r="C178" s="141"/>
      <c r="D178" s="141"/>
      <c r="E178" s="141"/>
      <c r="F178" s="141"/>
      <c r="G178" s="141"/>
      <c r="H178" s="141"/>
      <c r="I178" s="141"/>
      <c r="J178" s="141"/>
      <c r="K178" s="141"/>
      <c r="L178" s="141"/>
      <c r="M178" s="141"/>
      <c r="N178" s="141"/>
      <c r="O178" s="141"/>
      <c r="P178" s="141"/>
      <c r="Q178" s="141"/>
      <c r="R178" s="141"/>
      <c r="S178" s="141"/>
      <c r="T178" s="141"/>
      <c r="U178" s="141"/>
    </row>
    <row r="179" spans="1:21" x14ac:dyDescent="0.25">
      <c r="A179" s="141"/>
      <c r="B179" s="141"/>
      <c r="C179" s="141"/>
      <c r="D179" s="141"/>
      <c r="E179" s="141"/>
      <c r="F179" s="141"/>
      <c r="G179" s="141"/>
      <c r="H179" s="141"/>
      <c r="I179" s="141"/>
      <c r="J179" s="141"/>
      <c r="K179" s="141"/>
      <c r="L179" s="141"/>
      <c r="M179" s="141"/>
      <c r="N179" s="141"/>
      <c r="O179" s="141"/>
      <c r="P179" s="141"/>
      <c r="Q179" s="141"/>
      <c r="R179" s="141"/>
      <c r="S179" s="141"/>
      <c r="T179" s="141"/>
      <c r="U179" s="141"/>
    </row>
    <row r="180" spans="1:21" x14ac:dyDescent="0.25">
      <c r="A180" s="141"/>
      <c r="B180" s="141"/>
      <c r="C180" s="141"/>
      <c r="D180" s="141"/>
      <c r="E180" s="141"/>
      <c r="F180" s="141"/>
      <c r="G180" s="141"/>
      <c r="H180" s="141"/>
      <c r="I180" s="141"/>
      <c r="J180" s="141"/>
      <c r="K180" s="141"/>
      <c r="L180" s="141"/>
      <c r="M180" s="141"/>
      <c r="N180" s="141"/>
      <c r="O180" s="141"/>
      <c r="P180" s="141"/>
      <c r="Q180" s="141"/>
      <c r="R180" s="141"/>
      <c r="S180" s="141"/>
      <c r="T180" s="141"/>
      <c r="U180" s="141"/>
    </row>
    <row r="181" spans="1:21" x14ac:dyDescent="0.25">
      <c r="A181" s="141"/>
      <c r="B181" s="141"/>
      <c r="C181" s="141"/>
      <c r="D181" s="141"/>
      <c r="E181" s="141"/>
      <c r="F181" s="141"/>
      <c r="G181" s="141"/>
      <c r="H181" s="141"/>
      <c r="I181" s="141"/>
      <c r="J181" s="141"/>
      <c r="K181" s="141"/>
      <c r="L181" s="141"/>
      <c r="M181" s="141"/>
      <c r="N181" s="141"/>
      <c r="O181" s="141"/>
      <c r="P181" s="141"/>
      <c r="Q181" s="141"/>
      <c r="R181" s="141"/>
      <c r="S181" s="141"/>
      <c r="T181" s="141"/>
      <c r="U181" s="141"/>
    </row>
    <row r="182" spans="1:21" x14ac:dyDescent="0.25">
      <c r="A182" s="141"/>
      <c r="B182" s="141"/>
      <c r="C182" s="141"/>
      <c r="D182" s="141"/>
      <c r="E182" s="141"/>
      <c r="F182" s="141"/>
      <c r="G182" s="141"/>
      <c r="H182" s="141"/>
      <c r="I182" s="141"/>
      <c r="J182" s="141"/>
      <c r="K182" s="141"/>
      <c r="L182" s="141"/>
      <c r="M182" s="141"/>
      <c r="N182" s="141"/>
      <c r="O182" s="141"/>
      <c r="P182" s="141"/>
      <c r="Q182" s="141"/>
      <c r="R182" s="141"/>
      <c r="S182" s="141"/>
      <c r="T182" s="141"/>
      <c r="U182" s="141"/>
    </row>
    <row r="183" spans="1:21" x14ac:dyDescent="0.25">
      <c r="A183" s="141"/>
      <c r="B183" s="141"/>
      <c r="C183" s="141"/>
      <c r="D183" s="141"/>
      <c r="E183" s="141"/>
      <c r="F183" s="141"/>
      <c r="G183" s="141"/>
      <c r="H183" s="141"/>
      <c r="I183" s="141"/>
      <c r="J183" s="141"/>
      <c r="K183" s="141"/>
      <c r="L183" s="141"/>
      <c r="M183" s="141"/>
      <c r="N183" s="141"/>
      <c r="O183" s="141"/>
      <c r="P183" s="141"/>
      <c r="Q183" s="141"/>
      <c r="R183" s="141"/>
      <c r="S183" s="141"/>
      <c r="T183" s="141"/>
      <c r="U183" s="141"/>
    </row>
    <row r="184" spans="1:21" x14ac:dyDescent="0.25">
      <c r="A184" s="141"/>
      <c r="B184" s="141"/>
      <c r="C184" s="141"/>
      <c r="D184" s="141"/>
      <c r="E184" s="141"/>
      <c r="F184" s="141"/>
      <c r="G184" s="141"/>
      <c r="H184" s="141"/>
      <c r="I184" s="141"/>
      <c r="J184" s="141"/>
      <c r="K184" s="141"/>
      <c r="L184" s="141"/>
      <c r="M184" s="141"/>
      <c r="N184" s="141"/>
      <c r="O184" s="141"/>
      <c r="P184" s="141"/>
      <c r="Q184" s="141"/>
      <c r="R184" s="141"/>
      <c r="S184" s="141"/>
      <c r="T184" s="141"/>
      <c r="U184" s="141"/>
    </row>
    <row r="185" spans="1:21" x14ac:dyDescent="0.25">
      <c r="A185" s="141"/>
      <c r="B185" s="141"/>
      <c r="C185" s="141"/>
      <c r="D185" s="141"/>
      <c r="E185" s="141"/>
      <c r="F185" s="141"/>
      <c r="G185" s="141"/>
      <c r="H185" s="141"/>
      <c r="I185" s="141"/>
      <c r="J185" s="141"/>
      <c r="K185" s="141"/>
      <c r="L185" s="141"/>
      <c r="M185" s="141"/>
      <c r="N185" s="141"/>
      <c r="O185" s="141"/>
      <c r="P185" s="141"/>
      <c r="Q185" s="141"/>
      <c r="R185" s="141"/>
      <c r="S185" s="141"/>
      <c r="T185" s="141"/>
      <c r="U185" s="141"/>
    </row>
    <row r="186" spans="1:21" x14ac:dyDescent="0.25">
      <c r="A186" s="141"/>
      <c r="B186" s="141"/>
      <c r="C186" s="141"/>
      <c r="D186" s="141"/>
      <c r="E186" s="141"/>
      <c r="F186" s="141"/>
      <c r="G186" s="141"/>
      <c r="H186" s="141"/>
      <c r="I186" s="141"/>
      <c r="J186" s="141"/>
      <c r="K186" s="141"/>
      <c r="L186" s="141"/>
      <c r="M186" s="141"/>
      <c r="N186" s="141"/>
      <c r="O186" s="141"/>
      <c r="P186" s="141"/>
      <c r="Q186" s="141"/>
      <c r="R186" s="141"/>
      <c r="S186" s="141"/>
      <c r="T186" s="141"/>
      <c r="U186" s="141"/>
    </row>
    <row r="187" spans="1:21" x14ac:dyDescent="0.25">
      <c r="A187" s="141"/>
      <c r="B187" s="141"/>
      <c r="C187" s="141"/>
      <c r="D187" s="141"/>
      <c r="E187" s="141"/>
      <c r="F187" s="141"/>
      <c r="G187" s="141"/>
      <c r="H187" s="141"/>
      <c r="I187" s="141"/>
      <c r="J187" s="141"/>
      <c r="K187" s="141"/>
      <c r="L187" s="141"/>
      <c r="M187" s="141"/>
      <c r="N187" s="141"/>
      <c r="O187" s="141"/>
      <c r="P187" s="141"/>
      <c r="Q187" s="141"/>
      <c r="R187" s="141"/>
      <c r="S187" s="141"/>
      <c r="T187" s="141"/>
      <c r="U187" s="141"/>
    </row>
    <row r="188" spans="1:21" x14ac:dyDescent="0.25">
      <c r="A188" s="141"/>
      <c r="B188" s="141"/>
      <c r="C188" s="141"/>
      <c r="D188" s="141"/>
      <c r="E188" s="141"/>
      <c r="F188" s="141"/>
      <c r="G188" s="141"/>
      <c r="H188" s="141"/>
      <c r="I188" s="141"/>
      <c r="J188" s="141"/>
      <c r="K188" s="141"/>
      <c r="L188" s="141"/>
      <c r="M188" s="141"/>
      <c r="N188" s="141"/>
      <c r="O188" s="141"/>
      <c r="P188" s="141"/>
      <c r="Q188" s="141"/>
      <c r="R188" s="141"/>
      <c r="S188" s="141"/>
      <c r="T188" s="141"/>
      <c r="U188" s="141"/>
    </row>
    <row r="189" spans="1:21" x14ac:dyDescent="0.25">
      <c r="A189" s="141"/>
      <c r="B189" s="141"/>
      <c r="C189" s="141"/>
      <c r="D189" s="141"/>
      <c r="E189" s="141"/>
      <c r="F189" s="141"/>
      <c r="G189" s="141"/>
      <c r="H189" s="141"/>
      <c r="I189" s="141"/>
      <c r="J189" s="141"/>
      <c r="K189" s="141"/>
      <c r="L189" s="141"/>
      <c r="M189" s="141"/>
      <c r="N189" s="141"/>
      <c r="O189" s="141"/>
      <c r="P189" s="141"/>
      <c r="Q189" s="141"/>
      <c r="R189" s="141"/>
      <c r="S189" s="141"/>
      <c r="T189" s="141"/>
      <c r="U189" s="141"/>
    </row>
    <row r="190" spans="1:21" x14ac:dyDescent="0.25">
      <c r="A190" s="141"/>
      <c r="B190" s="141"/>
      <c r="C190" s="141"/>
      <c r="D190" s="141"/>
      <c r="E190" s="141"/>
      <c r="F190" s="141"/>
      <c r="G190" s="141"/>
      <c r="H190" s="141"/>
      <c r="I190" s="141"/>
      <c r="J190" s="141"/>
      <c r="K190" s="141"/>
      <c r="L190" s="141"/>
      <c r="M190" s="141"/>
      <c r="N190" s="141"/>
      <c r="O190" s="141"/>
      <c r="P190" s="141"/>
      <c r="Q190" s="141"/>
      <c r="R190" s="141"/>
      <c r="S190" s="141"/>
      <c r="T190" s="141"/>
      <c r="U190" s="141"/>
    </row>
    <row r="191" spans="1:21" x14ac:dyDescent="0.25">
      <c r="A191" s="141"/>
      <c r="B191" s="141"/>
      <c r="C191" s="141"/>
      <c r="D191" s="141"/>
      <c r="E191" s="141"/>
      <c r="F191" s="141"/>
      <c r="G191" s="141"/>
      <c r="H191" s="141"/>
      <c r="I191" s="141"/>
      <c r="J191" s="141"/>
      <c r="K191" s="141"/>
      <c r="L191" s="141"/>
      <c r="M191" s="141"/>
      <c r="N191" s="141"/>
      <c r="O191" s="141"/>
      <c r="P191" s="141"/>
      <c r="Q191" s="141"/>
      <c r="R191" s="141"/>
      <c r="S191" s="141"/>
      <c r="T191" s="141"/>
      <c r="U191" s="141"/>
    </row>
    <row r="192" spans="1:21" x14ac:dyDescent="0.25">
      <c r="A192" s="141"/>
      <c r="B192" s="141"/>
      <c r="C192" s="141"/>
      <c r="D192" s="141"/>
      <c r="E192" s="141"/>
      <c r="F192" s="141"/>
      <c r="G192" s="141"/>
      <c r="H192" s="141"/>
      <c r="I192" s="141"/>
      <c r="J192" s="141"/>
      <c r="K192" s="141"/>
      <c r="L192" s="141"/>
      <c r="M192" s="141"/>
      <c r="N192" s="141"/>
      <c r="O192" s="141"/>
      <c r="P192" s="141"/>
      <c r="Q192" s="141"/>
      <c r="R192" s="141"/>
      <c r="S192" s="141"/>
      <c r="T192" s="141"/>
      <c r="U192" s="141"/>
    </row>
    <row r="193" spans="1:21" x14ac:dyDescent="0.25">
      <c r="A193" s="141"/>
      <c r="B193" s="141"/>
      <c r="C193" s="141"/>
      <c r="D193" s="141"/>
      <c r="E193" s="141"/>
      <c r="F193" s="141"/>
      <c r="G193" s="141"/>
      <c r="H193" s="141"/>
      <c r="I193" s="141"/>
      <c r="J193" s="141"/>
      <c r="K193" s="141"/>
      <c r="L193" s="141"/>
      <c r="M193" s="141"/>
      <c r="N193" s="141"/>
      <c r="O193" s="141"/>
      <c r="P193" s="141"/>
      <c r="Q193" s="141"/>
      <c r="R193" s="141"/>
      <c r="S193" s="141"/>
      <c r="T193" s="141"/>
      <c r="U193" s="141"/>
    </row>
    <row r="194" spans="1:21" x14ac:dyDescent="0.25">
      <c r="A194" s="141"/>
      <c r="B194" s="141"/>
      <c r="C194" s="141"/>
      <c r="D194" s="141"/>
      <c r="E194" s="141"/>
      <c r="F194" s="141"/>
      <c r="G194" s="141"/>
      <c r="H194" s="141"/>
      <c r="I194" s="141"/>
      <c r="J194" s="141"/>
      <c r="K194" s="141"/>
      <c r="L194" s="141"/>
      <c r="M194" s="141"/>
      <c r="N194" s="141"/>
      <c r="O194" s="141"/>
      <c r="P194" s="141"/>
      <c r="Q194" s="141"/>
      <c r="R194" s="141"/>
      <c r="S194" s="141"/>
      <c r="T194" s="141"/>
      <c r="U194" s="141"/>
    </row>
    <row r="195" spans="1:21" x14ac:dyDescent="0.25">
      <c r="A195" s="141"/>
      <c r="B195" s="141"/>
      <c r="C195" s="141"/>
      <c r="D195" s="141"/>
      <c r="E195" s="141"/>
      <c r="F195" s="141"/>
      <c r="G195" s="141"/>
      <c r="H195" s="141"/>
      <c r="I195" s="141"/>
      <c r="J195" s="141"/>
      <c r="K195" s="141"/>
      <c r="L195" s="141"/>
      <c r="M195" s="141"/>
      <c r="N195" s="141"/>
      <c r="O195" s="141"/>
      <c r="P195" s="141"/>
      <c r="Q195" s="141"/>
      <c r="R195" s="141"/>
      <c r="S195" s="141"/>
      <c r="T195" s="141"/>
      <c r="U195" s="141"/>
    </row>
    <row r="196" spans="1:21" x14ac:dyDescent="0.25">
      <c r="A196" s="141"/>
      <c r="B196" s="141"/>
      <c r="C196" s="141"/>
      <c r="D196" s="141"/>
      <c r="E196" s="141"/>
      <c r="F196" s="141"/>
      <c r="G196" s="141"/>
      <c r="H196" s="141"/>
      <c r="I196" s="141"/>
      <c r="J196" s="141"/>
      <c r="K196" s="141"/>
      <c r="L196" s="141"/>
      <c r="M196" s="141"/>
      <c r="N196" s="141"/>
      <c r="O196" s="141"/>
      <c r="P196" s="141"/>
      <c r="Q196" s="141"/>
      <c r="R196" s="141"/>
      <c r="S196" s="141"/>
      <c r="T196" s="141"/>
      <c r="U196" s="141"/>
    </row>
    <row r="197" spans="1:21" x14ac:dyDescent="0.25">
      <c r="A197" s="141"/>
      <c r="B197" s="141"/>
      <c r="C197" s="141"/>
      <c r="D197" s="141"/>
      <c r="E197" s="141"/>
      <c r="F197" s="141"/>
      <c r="G197" s="141"/>
      <c r="H197" s="141"/>
      <c r="I197" s="141"/>
      <c r="J197" s="141"/>
      <c r="K197" s="141"/>
      <c r="L197" s="141"/>
      <c r="M197" s="141"/>
      <c r="N197" s="141"/>
      <c r="O197" s="141"/>
      <c r="P197" s="141"/>
      <c r="Q197" s="141"/>
      <c r="R197" s="141"/>
      <c r="S197" s="141"/>
      <c r="T197" s="141"/>
      <c r="U197" s="141"/>
    </row>
    <row r="198" spans="1:21" x14ac:dyDescent="0.25">
      <c r="A198" s="141"/>
      <c r="B198" s="141"/>
      <c r="C198" s="141"/>
      <c r="D198" s="141"/>
      <c r="E198" s="141"/>
      <c r="F198" s="141"/>
      <c r="G198" s="141"/>
      <c r="H198" s="141"/>
      <c r="I198" s="141"/>
      <c r="J198" s="141"/>
      <c r="K198" s="141"/>
      <c r="L198" s="141"/>
      <c r="M198" s="141"/>
      <c r="N198" s="141"/>
      <c r="O198" s="141"/>
      <c r="P198" s="141"/>
      <c r="Q198" s="141"/>
      <c r="R198" s="141"/>
      <c r="S198" s="141"/>
      <c r="T198" s="141"/>
      <c r="U198" s="141"/>
    </row>
    <row r="199" spans="1:21" x14ac:dyDescent="0.25">
      <c r="A199" s="141"/>
      <c r="B199" s="141"/>
      <c r="C199" s="141"/>
      <c r="D199" s="141"/>
      <c r="E199" s="141"/>
      <c r="F199" s="141"/>
      <c r="G199" s="141"/>
      <c r="H199" s="141"/>
      <c r="I199" s="141"/>
      <c r="J199" s="141"/>
      <c r="K199" s="141"/>
      <c r="L199" s="141"/>
      <c r="M199" s="141"/>
      <c r="N199" s="141"/>
      <c r="O199" s="141"/>
      <c r="P199" s="141"/>
      <c r="Q199" s="141"/>
      <c r="R199" s="141"/>
      <c r="S199" s="141"/>
      <c r="T199" s="141"/>
      <c r="U199" s="141"/>
    </row>
    <row r="200" spans="1:21" x14ac:dyDescent="0.25">
      <c r="A200" s="141"/>
      <c r="B200" s="141"/>
      <c r="C200" s="141"/>
      <c r="D200" s="141"/>
      <c r="E200" s="141"/>
      <c r="F200" s="141"/>
      <c r="G200" s="141"/>
      <c r="H200" s="141"/>
      <c r="I200" s="141"/>
      <c r="J200" s="141"/>
      <c r="K200" s="141"/>
      <c r="L200" s="141"/>
      <c r="M200" s="141"/>
      <c r="N200" s="141"/>
      <c r="O200" s="141"/>
      <c r="P200" s="141"/>
      <c r="Q200" s="141"/>
      <c r="R200" s="141"/>
      <c r="S200" s="141"/>
      <c r="T200" s="141"/>
      <c r="U200" s="141"/>
    </row>
    <row r="201" spans="1:21" x14ac:dyDescent="0.25">
      <c r="A201" s="141"/>
      <c r="B201" s="141"/>
      <c r="C201" s="141"/>
      <c r="D201" s="141"/>
      <c r="E201" s="141"/>
      <c r="F201" s="141"/>
      <c r="G201" s="141"/>
      <c r="H201" s="141"/>
      <c r="I201" s="141"/>
      <c r="J201" s="141"/>
      <c r="K201" s="141"/>
      <c r="L201" s="141"/>
      <c r="M201" s="141"/>
      <c r="N201" s="141"/>
      <c r="O201" s="141"/>
      <c r="P201" s="141"/>
      <c r="Q201" s="141"/>
      <c r="R201" s="141"/>
      <c r="S201" s="141"/>
      <c r="T201" s="141"/>
      <c r="U201" s="141"/>
    </row>
    <row r="202" spans="1:21" x14ac:dyDescent="0.25">
      <c r="A202" s="141"/>
      <c r="B202" s="141"/>
      <c r="C202" s="141"/>
      <c r="D202" s="141"/>
      <c r="E202" s="141"/>
      <c r="F202" s="141"/>
      <c r="G202" s="141"/>
      <c r="H202" s="141"/>
      <c r="I202" s="141"/>
      <c r="J202" s="141"/>
      <c r="K202" s="141"/>
      <c r="L202" s="141"/>
      <c r="M202" s="141"/>
      <c r="N202" s="141"/>
      <c r="O202" s="141"/>
      <c r="P202" s="141"/>
      <c r="Q202" s="141"/>
      <c r="R202" s="141"/>
      <c r="S202" s="141"/>
      <c r="T202" s="141"/>
      <c r="U202" s="141"/>
    </row>
    <row r="203" spans="1:21" x14ac:dyDescent="0.25">
      <c r="A203" s="141"/>
      <c r="B203" s="141"/>
      <c r="C203" s="141"/>
      <c r="D203" s="141"/>
      <c r="E203" s="141"/>
      <c r="F203" s="141"/>
      <c r="G203" s="141"/>
      <c r="H203" s="141"/>
      <c r="I203" s="141"/>
      <c r="J203" s="141"/>
      <c r="K203" s="141"/>
      <c r="L203" s="141"/>
      <c r="M203" s="141"/>
      <c r="N203" s="141"/>
      <c r="O203" s="141"/>
      <c r="P203" s="141"/>
      <c r="Q203" s="141"/>
      <c r="R203" s="141"/>
      <c r="S203" s="141"/>
      <c r="T203" s="141"/>
      <c r="U203" s="141"/>
    </row>
    <row r="204" spans="1:21" x14ac:dyDescent="0.25">
      <c r="A204" s="141"/>
      <c r="B204" s="141"/>
      <c r="C204" s="141"/>
      <c r="D204" s="141"/>
      <c r="E204" s="141"/>
      <c r="F204" s="141"/>
      <c r="G204" s="141"/>
      <c r="H204" s="141"/>
      <c r="I204" s="141"/>
      <c r="J204" s="141"/>
      <c r="K204" s="141"/>
      <c r="L204" s="141"/>
      <c r="M204" s="141"/>
      <c r="N204" s="141"/>
      <c r="O204" s="141"/>
      <c r="P204" s="141"/>
      <c r="Q204" s="141"/>
      <c r="R204" s="141"/>
      <c r="S204" s="141"/>
      <c r="T204" s="141"/>
      <c r="U204" s="141"/>
    </row>
    <row r="205" spans="1:21" x14ac:dyDescent="0.25">
      <c r="A205" s="141"/>
      <c r="B205" s="141"/>
      <c r="C205" s="141"/>
      <c r="D205" s="141"/>
      <c r="E205" s="141"/>
      <c r="F205" s="141"/>
      <c r="G205" s="141"/>
      <c r="H205" s="141"/>
      <c r="I205" s="141"/>
      <c r="J205" s="141"/>
      <c r="K205" s="141"/>
      <c r="L205" s="141"/>
      <c r="M205" s="141"/>
      <c r="N205" s="141"/>
      <c r="O205" s="141"/>
      <c r="P205" s="141"/>
      <c r="Q205" s="141"/>
      <c r="R205" s="141"/>
      <c r="S205" s="141"/>
      <c r="T205" s="141"/>
      <c r="U205" s="141"/>
    </row>
    <row r="206" spans="1:21" x14ac:dyDescent="0.25">
      <c r="A206" s="141"/>
      <c r="B206" s="141"/>
      <c r="C206" s="141"/>
      <c r="D206" s="141"/>
      <c r="E206" s="141"/>
      <c r="F206" s="141"/>
      <c r="G206" s="141"/>
      <c r="H206" s="141"/>
      <c r="I206" s="141"/>
      <c r="J206" s="141"/>
      <c r="K206" s="141"/>
      <c r="L206" s="141"/>
      <c r="M206" s="141"/>
      <c r="N206" s="141"/>
      <c r="O206" s="141"/>
      <c r="P206" s="141"/>
      <c r="Q206" s="141"/>
      <c r="R206" s="141"/>
      <c r="S206" s="141"/>
      <c r="T206" s="141"/>
      <c r="U206" s="141"/>
    </row>
    <row r="207" spans="1:21" x14ac:dyDescent="0.25">
      <c r="A207" s="141"/>
      <c r="B207" s="141"/>
      <c r="C207" s="141"/>
      <c r="D207" s="141"/>
      <c r="E207" s="141"/>
      <c r="F207" s="141"/>
      <c r="G207" s="141"/>
      <c r="H207" s="141"/>
      <c r="I207" s="141"/>
      <c r="J207" s="141"/>
      <c r="K207" s="141"/>
      <c r="L207" s="141"/>
      <c r="M207" s="141"/>
      <c r="N207" s="141"/>
      <c r="O207" s="141"/>
      <c r="P207" s="141"/>
      <c r="Q207" s="141"/>
      <c r="R207" s="141"/>
      <c r="S207" s="141"/>
      <c r="T207" s="141"/>
      <c r="U207" s="141"/>
    </row>
    <row r="208" spans="1:21" x14ac:dyDescent="0.25">
      <c r="A208" s="141"/>
      <c r="B208" s="141"/>
      <c r="C208" s="141"/>
      <c r="D208" s="141"/>
      <c r="E208" s="141"/>
      <c r="F208" s="141"/>
      <c r="G208" s="141"/>
      <c r="H208" s="141"/>
      <c r="I208" s="141"/>
      <c r="J208" s="141"/>
      <c r="K208" s="141"/>
      <c r="L208" s="141"/>
      <c r="M208" s="141"/>
      <c r="N208" s="141"/>
      <c r="O208" s="141"/>
      <c r="P208" s="141"/>
      <c r="Q208" s="141"/>
      <c r="R208" s="141"/>
      <c r="S208" s="141"/>
      <c r="T208" s="141"/>
      <c r="U208" s="141"/>
    </row>
    <row r="209" spans="1:21" x14ac:dyDescent="0.25">
      <c r="A209" s="141"/>
      <c r="B209" s="141"/>
      <c r="C209" s="141"/>
      <c r="D209" s="141"/>
      <c r="E209" s="141"/>
      <c r="F209" s="141"/>
      <c r="G209" s="141"/>
      <c r="H209" s="141"/>
      <c r="I209" s="141"/>
      <c r="J209" s="141"/>
      <c r="K209" s="141"/>
      <c r="L209" s="141"/>
      <c r="M209" s="141"/>
      <c r="N209" s="141"/>
      <c r="O209" s="141"/>
      <c r="P209" s="141"/>
      <c r="Q209" s="141"/>
      <c r="R209" s="141"/>
      <c r="S209" s="141"/>
      <c r="T209" s="141"/>
      <c r="U209" s="141"/>
    </row>
    <row r="210" spans="1:21" x14ac:dyDescent="0.25">
      <c r="A210" s="141"/>
      <c r="B210" s="141"/>
      <c r="C210" s="141"/>
      <c r="D210" s="141"/>
      <c r="E210" s="141"/>
      <c r="F210" s="141"/>
      <c r="G210" s="141"/>
      <c r="H210" s="141"/>
      <c r="I210" s="141"/>
      <c r="J210" s="141"/>
      <c r="K210" s="141"/>
      <c r="L210" s="141"/>
      <c r="M210" s="141"/>
      <c r="N210" s="141"/>
      <c r="O210" s="141"/>
      <c r="P210" s="141"/>
      <c r="Q210" s="141"/>
      <c r="R210" s="141"/>
      <c r="S210" s="141"/>
      <c r="T210" s="141"/>
      <c r="U210" s="141"/>
    </row>
    <row r="211" spans="1:21" x14ac:dyDescent="0.25">
      <c r="A211" s="141"/>
      <c r="B211" s="141"/>
      <c r="C211" s="141"/>
      <c r="D211" s="141"/>
      <c r="E211" s="141"/>
      <c r="F211" s="141"/>
      <c r="G211" s="141"/>
      <c r="H211" s="141"/>
      <c r="I211" s="141"/>
      <c r="J211" s="141"/>
      <c r="K211" s="141"/>
      <c r="L211" s="141"/>
      <c r="M211" s="141"/>
      <c r="N211" s="141"/>
      <c r="O211" s="141"/>
      <c r="P211" s="141"/>
      <c r="Q211" s="141"/>
      <c r="R211" s="141"/>
      <c r="S211" s="141"/>
      <c r="T211" s="141"/>
      <c r="U211" s="141"/>
    </row>
    <row r="212" spans="1:21" x14ac:dyDescent="0.25">
      <c r="A212" s="141"/>
      <c r="B212" s="141"/>
      <c r="C212" s="141"/>
      <c r="D212" s="141"/>
      <c r="E212" s="141"/>
      <c r="F212" s="141"/>
      <c r="G212" s="141"/>
      <c r="H212" s="141"/>
      <c r="I212" s="141"/>
      <c r="J212" s="141"/>
      <c r="K212" s="141"/>
      <c r="L212" s="141"/>
      <c r="M212" s="141"/>
      <c r="N212" s="141"/>
      <c r="O212" s="141"/>
      <c r="P212" s="141"/>
      <c r="Q212" s="141"/>
      <c r="R212" s="141"/>
      <c r="S212" s="141"/>
      <c r="T212" s="141"/>
      <c r="U212" s="141"/>
    </row>
    <row r="213" spans="1:21" x14ac:dyDescent="0.25">
      <c r="A213" s="141"/>
      <c r="B213" s="141"/>
      <c r="C213" s="141"/>
      <c r="D213" s="141"/>
      <c r="E213" s="141"/>
      <c r="F213" s="141"/>
      <c r="G213" s="141"/>
      <c r="H213" s="141"/>
      <c r="I213" s="141"/>
      <c r="J213" s="141"/>
      <c r="K213" s="141"/>
      <c r="L213" s="141"/>
      <c r="M213" s="141"/>
      <c r="N213" s="141"/>
      <c r="O213" s="141"/>
      <c r="P213" s="141"/>
      <c r="Q213" s="141"/>
      <c r="R213" s="141"/>
      <c r="S213" s="141"/>
      <c r="T213" s="141"/>
      <c r="U213" s="141"/>
    </row>
    <row r="214" spans="1:21" x14ac:dyDescent="0.25">
      <c r="A214" s="141"/>
      <c r="B214" s="141"/>
      <c r="C214" s="141"/>
      <c r="D214" s="141"/>
      <c r="E214" s="141"/>
      <c r="F214" s="141"/>
      <c r="G214" s="141"/>
      <c r="H214" s="141"/>
      <c r="I214" s="141"/>
      <c r="J214" s="141"/>
      <c r="K214" s="141"/>
      <c r="L214" s="141"/>
      <c r="M214" s="141"/>
      <c r="N214" s="141"/>
      <c r="O214" s="141"/>
      <c r="P214" s="141"/>
      <c r="Q214" s="141"/>
      <c r="R214" s="141"/>
      <c r="S214" s="141"/>
      <c r="T214" s="141"/>
      <c r="U214" s="141"/>
    </row>
    <row r="215" spans="1:21" x14ac:dyDescent="0.25">
      <c r="A215" s="141"/>
      <c r="B215" s="141"/>
      <c r="C215" s="141"/>
      <c r="D215" s="141"/>
      <c r="E215" s="141"/>
      <c r="F215" s="141"/>
      <c r="G215" s="141"/>
      <c r="H215" s="141"/>
      <c r="I215" s="141"/>
      <c r="J215" s="141"/>
      <c r="K215" s="141"/>
      <c r="L215" s="141"/>
      <c r="M215" s="141"/>
      <c r="N215" s="141"/>
      <c r="O215" s="141"/>
      <c r="P215" s="141"/>
      <c r="Q215" s="141"/>
      <c r="R215" s="141"/>
      <c r="S215" s="141"/>
      <c r="T215" s="141"/>
      <c r="U215" s="141"/>
    </row>
    <row r="216" spans="1:21" x14ac:dyDescent="0.25">
      <c r="A216" s="141"/>
      <c r="B216" s="141"/>
      <c r="C216" s="141"/>
      <c r="D216" s="141"/>
      <c r="E216" s="141"/>
      <c r="F216" s="141"/>
      <c r="G216" s="141"/>
      <c r="H216" s="141"/>
      <c r="I216" s="141"/>
      <c r="J216" s="141"/>
      <c r="K216" s="141"/>
      <c r="L216" s="141"/>
      <c r="M216" s="141"/>
      <c r="N216" s="141"/>
      <c r="O216" s="141"/>
      <c r="P216" s="141"/>
      <c r="Q216" s="141"/>
      <c r="R216" s="141"/>
      <c r="S216" s="141"/>
      <c r="T216" s="141"/>
      <c r="U216" s="141"/>
    </row>
    <row r="217" spans="1:21" x14ac:dyDescent="0.25">
      <c r="A217" s="141"/>
      <c r="B217" s="141"/>
      <c r="C217" s="141"/>
      <c r="D217" s="141"/>
      <c r="E217" s="141"/>
      <c r="F217" s="141"/>
      <c r="G217" s="141"/>
      <c r="H217" s="141"/>
      <c r="I217" s="141"/>
      <c r="J217" s="141"/>
      <c r="K217" s="141"/>
      <c r="L217" s="141"/>
      <c r="M217" s="141"/>
      <c r="N217" s="141"/>
      <c r="O217" s="141"/>
      <c r="P217" s="141"/>
      <c r="Q217" s="141"/>
      <c r="R217" s="141"/>
      <c r="S217" s="141"/>
      <c r="T217" s="141"/>
      <c r="U217" s="141"/>
    </row>
    <row r="218" spans="1:21" x14ac:dyDescent="0.25">
      <c r="A218" s="141"/>
      <c r="B218" s="141"/>
      <c r="C218" s="141"/>
      <c r="D218" s="141"/>
      <c r="E218" s="141"/>
      <c r="F218" s="141"/>
      <c r="G218" s="141"/>
      <c r="H218" s="141"/>
      <c r="I218" s="141"/>
      <c r="J218" s="141"/>
      <c r="K218" s="141"/>
      <c r="L218" s="141"/>
      <c r="M218" s="141"/>
      <c r="N218" s="141"/>
      <c r="O218" s="141"/>
      <c r="P218" s="141"/>
      <c r="Q218" s="141"/>
      <c r="R218" s="141"/>
      <c r="S218" s="141"/>
      <c r="T218" s="141"/>
      <c r="U218" s="141"/>
    </row>
    <row r="219" spans="1:21" x14ac:dyDescent="0.25">
      <c r="A219" s="141"/>
      <c r="B219" s="141"/>
      <c r="C219" s="141"/>
      <c r="D219" s="141"/>
      <c r="E219" s="141"/>
      <c r="F219" s="141"/>
      <c r="G219" s="141"/>
      <c r="H219" s="141"/>
      <c r="I219" s="141"/>
      <c r="J219" s="141"/>
      <c r="K219" s="141"/>
      <c r="L219" s="141"/>
      <c r="M219" s="141"/>
      <c r="N219" s="141"/>
      <c r="O219" s="141"/>
      <c r="P219" s="141"/>
      <c r="Q219" s="141"/>
      <c r="R219" s="141"/>
      <c r="S219" s="141"/>
      <c r="T219" s="141"/>
      <c r="U219" s="141"/>
    </row>
    <row r="220" spans="1:21" x14ac:dyDescent="0.25">
      <c r="A220" s="141"/>
      <c r="B220" s="141"/>
      <c r="C220" s="141"/>
      <c r="D220" s="141"/>
      <c r="E220" s="141"/>
      <c r="F220" s="141"/>
      <c r="G220" s="141"/>
      <c r="H220" s="141"/>
      <c r="I220" s="141"/>
      <c r="J220" s="141"/>
      <c r="K220" s="141"/>
      <c r="L220" s="141"/>
      <c r="M220" s="141"/>
      <c r="N220" s="141"/>
      <c r="O220" s="141"/>
      <c r="P220" s="141"/>
      <c r="Q220" s="141"/>
      <c r="R220" s="141"/>
      <c r="S220" s="141"/>
      <c r="T220" s="141"/>
      <c r="U220" s="141"/>
    </row>
    <row r="221" spans="1:21" x14ac:dyDescent="0.25">
      <c r="A221" s="141"/>
      <c r="B221" s="141"/>
      <c r="C221" s="141"/>
      <c r="D221" s="141"/>
      <c r="E221" s="141"/>
      <c r="F221" s="141"/>
      <c r="G221" s="141"/>
      <c r="H221" s="141"/>
      <c r="I221" s="141"/>
      <c r="J221" s="141"/>
      <c r="K221" s="141"/>
      <c r="L221" s="141"/>
      <c r="M221" s="141"/>
      <c r="N221" s="141"/>
      <c r="O221" s="141"/>
      <c r="P221" s="141"/>
      <c r="Q221" s="141"/>
      <c r="R221" s="141"/>
      <c r="S221" s="141"/>
      <c r="T221" s="141"/>
      <c r="U221" s="141"/>
    </row>
    <row r="222" spans="1:21" x14ac:dyDescent="0.25">
      <c r="A222" s="141"/>
      <c r="B222" s="141"/>
      <c r="C222" s="141"/>
      <c r="D222" s="141"/>
      <c r="E222" s="141"/>
      <c r="F222" s="141"/>
      <c r="G222" s="141"/>
      <c r="H222" s="141"/>
      <c r="I222" s="141"/>
      <c r="J222" s="141"/>
      <c r="K222" s="141"/>
      <c r="L222" s="141"/>
      <c r="M222" s="141"/>
      <c r="N222" s="141"/>
      <c r="O222" s="141"/>
      <c r="P222" s="141"/>
      <c r="Q222" s="141"/>
      <c r="R222" s="141"/>
      <c r="S222" s="141"/>
      <c r="T222" s="141"/>
      <c r="U222" s="141"/>
    </row>
    <row r="223" spans="1:21" x14ac:dyDescent="0.25">
      <c r="A223" s="141"/>
      <c r="B223" s="141"/>
      <c r="C223" s="141"/>
      <c r="D223" s="141"/>
      <c r="E223" s="141"/>
      <c r="F223" s="141"/>
      <c r="G223" s="141"/>
      <c r="H223" s="141"/>
      <c r="I223" s="141"/>
      <c r="J223" s="141"/>
      <c r="K223" s="141"/>
      <c r="L223" s="141"/>
      <c r="M223" s="141"/>
      <c r="N223" s="141"/>
      <c r="O223" s="141"/>
      <c r="P223" s="141"/>
      <c r="Q223" s="141"/>
      <c r="R223" s="141"/>
      <c r="S223" s="141"/>
      <c r="T223" s="141"/>
      <c r="U223" s="141"/>
    </row>
    <row r="224" spans="1:21" x14ac:dyDescent="0.25">
      <c r="A224" s="141"/>
      <c r="B224" s="141"/>
      <c r="C224" s="141"/>
      <c r="D224" s="141"/>
      <c r="E224" s="141"/>
      <c r="F224" s="141"/>
      <c r="G224" s="141"/>
      <c r="H224" s="141"/>
      <c r="I224" s="141"/>
      <c r="J224" s="141"/>
      <c r="K224" s="141"/>
      <c r="L224" s="141"/>
      <c r="M224" s="141"/>
      <c r="N224" s="141"/>
      <c r="O224" s="141"/>
      <c r="P224" s="141"/>
      <c r="Q224" s="141"/>
      <c r="R224" s="141"/>
      <c r="S224" s="141"/>
      <c r="T224" s="141"/>
      <c r="U224" s="141"/>
    </row>
    <row r="225" spans="1:21" x14ac:dyDescent="0.25">
      <c r="A225" s="141"/>
      <c r="B225" s="141"/>
      <c r="C225" s="141"/>
      <c r="D225" s="141"/>
      <c r="E225" s="141"/>
      <c r="F225" s="141"/>
      <c r="G225" s="141"/>
      <c r="H225" s="141"/>
      <c r="I225" s="141"/>
      <c r="J225" s="141"/>
      <c r="K225" s="141"/>
      <c r="L225" s="141"/>
      <c r="M225" s="141"/>
      <c r="N225" s="141"/>
      <c r="O225" s="141"/>
      <c r="P225" s="141"/>
      <c r="Q225" s="141"/>
      <c r="R225" s="141"/>
      <c r="S225" s="141"/>
      <c r="T225" s="141"/>
      <c r="U225" s="141"/>
    </row>
    <row r="226" spans="1:21" x14ac:dyDescent="0.25">
      <c r="A226" s="141"/>
      <c r="B226" s="141"/>
      <c r="C226" s="141"/>
      <c r="D226" s="141"/>
      <c r="E226" s="141"/>
      <c r="F226" s="141"/>
      <c r="G226" s="141"/>
      <c r="H226" s="141"/>
      <c r="I226" s="141"/>
      <c r="J226" s="141"/>
      <c r="K226" s="141"/>
      <c r="L226" s="141"/>
      <c r="M226" s="141"/>
      <c r="N226" s="141"/>
      <c r="O226" s="141"/>
      <c r="P226" s="141"/>
      <c r="Q226" s="141"/>
      <c r="R226" s="141"/>
      <c r="S226" s="141"/>
      <c r="T226" s="141"/>
      <c r="U226" s="141"/>
    </row>
    <row r="227" spans="1:21" x14ac:dyDescent="0.25">
      <c r="A227" s="141"/>
      <c r="B227" s="141"/>
      <c r="C227" s="141"/>
      <c r="D227" s="141"/>
      <c r="E227" s="141"/>
      <c r="F227" s="141"/>
      <c r="G227" s="141"/>
      <c r="H227" s="141"/>
      <c r="I227" s="141"/>
      <c r="J227" s="141"/>
      <c r="K227" s="141"/>
      <c r="L227" s="141"/>
      <c r="M227" s="141"/>
      <c r="N227" s="141"/>
      <c r="O227" s="141"/>
      <c r="P227" s="141"/>
      <c r="Q227" s="141"/>
      <c r="R227" s="141"/>
      <c r="S227" s="141"/>
      <c r="T227" s="141"/>
      <c r="U227" s="141"/>
    </row>
    <row r="228" spans="1:21" x14ac:dyDescent="0.25">
      <c r="A228" s="141"/>
      <c r="B228" s="141"/>
      <c r="C228" s="141"/>
      <c r="D228" s="141"/>
      <c r="E228" s="141"/>
      <c r="F228" s="141"/>
      <c r="G228" s="141"/>
      <c r="H228" s="141"/>
      <c r="I228" s="141"/>
      <c r="J228" s="141"/>
      <c r="K228" s="141"/>
      <c r="L228" s="141"/>
      <c r="M228" s="141"/>
      <c r="N228" s="141"/>
      <c r="O228" s="141"/>
      <c r="P228" s="141"/>
      <c r="Q228" s="141"/>
      <c r="R228" s="141"/>
      <c r="S228" s="141"/>
      <c r="T228" s="141"/>
      <c r="U228" s="141"/>
    </row>
    <row r="229" spans="1:21" x14ac:dyDescent="0.25">
      <c r="A229" s="141"/>
      <c r="B229" s="141"/>
      <c r="C229" s="141"/>
      <c r="D229" s="141"/>
      <c r="E229" s="141"/>
      <c r="F229" s="141"/>
      <c r="G229" s="141"/>
      <c r="H229" s="141"/>
      <c r="I229" s="141"/>
      <c r="J229" s="141"/>
      <c r="K229" s="141"/>
      <c r="L229" s="141"/>
      <c r="M229" s="141"/>
      <c r="N229" s="141"/>
      <c r="O229" s="141"/>
      <c r="P229" s="141"/>
      <c r="Q229" s="141"/>
      <c r="R229" s="141"/>
      <c r="S229" s="141"/>
      <c r="T229" s="141"/>
      <c r="U229" s="141"/>
    </row>
    <row r="230" spans="1:21" x14ac:dyDescent="0.25">
      <c r="A230" s="141"/>
      <c r="B230" s="141"/>
      <c r="C230" s="141"/>
      <c r="D230" s="141"/>
      <c r="E230" s="141"/>
      <c r="F230" s="141"/>
      <c r="G230" s="141"/>
      <c r="H230" s="141"/>
      <c r="I230" s="141"/>
      <c r="J230" s="141"/>
      <c r="K230" s="141"/>
      <c r="L230" s="141"/>
      <c r="M230" s="141"/>
      <c r="N230" s="141"/>
      <c r="O230" s="141"/>
      <c r="P230" s="141"/>
      <c r="Q230" s="141"/>
      <c r="R230" s="141"/>
      <c r="S230" s="141"/>
      <c r="T230" s="141"/>
      <c r="U230" s="141"/>
    </row>
    <row r="231" spans="1:21" x14ac:dyDescent="0.25">
      <c r="A231" s="141"/>
      <c r="B231" s="141"/>
      <c r="C231" s="141"/>
      <c r="D231" s="141"/>
      <c r="E231" s="141"/>
      <c r="F231" s="141"/>
      <c r="G231" s="141"/>
      <c r="H231" s="141"/>
      <c r="I231" s="141"/>
      <c r="J231" s="141"/>
      <c r="K231" s="141"/>
      <c r="L231" s="141"/>
      <c r="M231" s="141"/>
      <c r="N231" s="141"/>
      <c r="O231" s="141"/>
      <c r="P231" s="141"/>
      <c r="Q231" s="141"/>
      <c r="R231" s="141"/>
      <c r="S231" s="141"/>
      <c r="T231" s="141"/>
      <c r="U231" s="141"/>
    </row>
    <row r="232" spans="1:21" x14ac:dyDescent="0.25">
      <c r="A232" s="141"/>
      <c r="B232" s="141"/>
      <c r="C232" s="141"/>
      <c r="D232" s="141"/>
      <c r="E232" s="141"/>
      <c r="F232" s="141"/>
      <c r="G232" s="141"/>
      <c r="H232" s="141"/>
      <c r="I232" s="141"/>
      <c r="J232" s="141"/>
      <c r="K232" s="141"/>
      <c r="L232" s="141"/>
      <c r="M232" s="141"/>
      <c r="N232" s="141"/>
      <c r="O232" s="141"/>
      <c r="P232" s="141"/>
      <c r="Q232" s="141"/>
      <c r="R232" s="141"/>
      <c r="S232" s="141"/>
      <c r="T232" s="141"/>
      <c r="U232" s="141"/>
    </row>
    <row r="233" spans="1:21" x14ac:dyDescent="0.25">
      <c r="A233" s="141"/>
      <c r="B233" s="141"/>
      <c r="C233" s="141"/>
      <c r="D233" s="141"/>
      <c r="E233" s="141"/>
      <c r="F233" s="141"/>
      <c r="G233" s="141"/>
      <c r="H233" s="141"/>
      <c r="I233" s="141"/>
      <c r="J233" s="141"/>
      <c r="K233" s="141"/>
      <c r="L233" s="141"/>
      <c r="M233" s="141"/>
      <c r="N233" s="141"/>
      <c r="O233" s="141"/>
      <c r="P233" s="141"/>
      <c r="Q233" s="141"/>
      <c r="R233" s="141"/>
      <c r="S233" s="141"/>
      <c r="T233" s="141"/>
      <c r="U233" s="141"/>
    </row>
    <row r="234" spans="1:21" x14ac:dyDescent="0.25">
      <c r="A234" s="141"/>
      <c r="B234" s="141"/>
      <c r="C234" s="141"/>
      <c r="D234" s="141"/>
      <c r="E234" s="141"/>
      <c r="F234" s="141"/>
      <c r="G234" s="141"/>
      <c r="H234" s="141"/>
      <c r="I234" s="141"/>
      <c r="J234" s="141"/>
      <c r="K234" s="141"/>
      <c r="L234" s="141"/>
      <c r="M234" s="141"/>
      <c r="N234" s="141"/>
      <c r="O234" s="141"/>
      <c r="P234" s="141"/>
      <c r="Q234" s="141"/>
      <c r="R234" s="141"/>
      <c r="S234" s="141"/>
      <c r="T234" s="141"/>
      <c r="U234" s="141"/>
    </row>
    <row r="235" spans="1:21" x14ac:dyDescent="0.25">
      <c r="A235" s="141"/>
      <c r="B235" s="141"/>
      <c r="C235" s="141"/>
      <c r="D235" s="141"/>
      <c r="E235" s="141"/>
      <c r="F235" s="141"/>
      <c r="G235" s="141"/>
      <c r="H235" s="141"/>
      <c r="I235" s="141"/>
      <c r="J235" s="141"/>
      <c r="K235" s="141"/>
      <c r="L235" s="141"/>
      <c r="M235" s="141"/>
      <c r="N235" s="141"/>
      <c r="O235" s="141"/>
      <c r="P235" s="141"/>
      <c r="Q235" s="141"/>
      <c r="R235" s="141"/>
      <c r="S235" s="141"/>
      <c r="T235" s="141"/>
      <c r="U235" s="141"/>
    </row>
    <row r="236" spans="1:21" x14ac:dyDescent="0.25">
      <c r="A236" s="141"/>
      <c r="B236" s="141"/>
      <c r="C236" s="141"/>
      <c r="D236" s="141"/>
      <c r="E236" s="141"/>
      <c r="F236" s="141"/>
      <c r="G236" s="141"/>
      <c r="H236" s="141"/>
      <c r="I236" s="141"/>
      <c r="J236" s="141"/>
      <c r="K236" s="141"/>
      <c r="L236" s="141"/>
      <c r="M236" s="141"/>
      <c r="N236" s="141"/>
      <c r="O236" s="141"/>
      <c r="P236" s="141"/>
      <c r="Q236" s="141"/>
      <c r="R236" s="141"/>
      <c r="S236" s="141"/>
      <c r="T236" s="141"/>
      <c r="U236" s="141"/>
    </row>
    <row r="237" spans="1:21" x14ac:dyDescent="0.25">
      <c r="A237" s="141"/>
      <c r="B237" s="141"/>
      <c r="C237" s="141"/>
      <c r="D237" s="141"/>
      <c r="E237" s="141"/>
      <c r="F237" s="141"/>
      <c r="G237" s="141"/>
      <c r="H237" s="141"/>
      <c r="I237" s="141"/>
      <c r="J237" s="141"/>
      <c r="K237" s="141"/>
      <c r="L237" s="141"/>
      <c r="M237" s="141"/>
      <c r="N237" s="141"/>
      <c r="O237" s="141"/>
      <c r="P237" s="141"/>
      <c r="Q237" s="141"/>
      <c r="R237" s="141"/>
      <c r="S237" s="141"/>
      <c r="T237" s="141"/>
      <c r="U237" s="141"/>
    </row>
    <row r="238" spans="1:21" x14ac:dyDescent="0.25">
      <c r="A238" s="141"/>
      <c r="B238" s="141"/>
      <c r="C238" s="141"/>
      <c r="D238" s="141"/>
      <c r="E238" s="141"/>
      <c r="F238" s="141"/>
      <c r="G238" s="141"/>
      <c r="H238" s="141"/>
      <c r="I238" s="141"/>
      <c r="J238" s="141"/>
      <c r="K238" s="141"/>
      <c r="L238" s="141"/>
      <c r="M238" s="141"/>
      <c r="N238" s="141"/>
      <c r="O238" s="141"/>
      <c r="P238" s="141"/>
      <c r="Q238" s="141"/>
      <c r="R238" s="141"/>
      <c r="S238" s="141"/>
      <c r="T238" s="141"/>
      <c r="U238" s="141"/>
    </row>
    <row r="239" spans="1:21" x14ac:dyDescent="0.25">
      <c r="A239" s="141"/>
      <c r="B239" s="141"/>
      <c r="C239" s="141"/>
      <c r="D239" s="141"/>
      <c r="E239" s="141"/>
      <c r="F239" s="141"/>
      <c r="G239" s="141"/>
      <c r="H239" s="141"/>
      <c r="I239" s="141"/>
      <c r="J239" s="141"/>
      <c r="K239" s="141"/>
      <c r="L239" s="141"/>
      <c r="M239" s="141"/>
      <c r="N239" s="141"/>
      <c r="O239" s="141"/>
      <c r="P239" s="141"/>
      <c r="Q239" s="141"/>
      <c r="R239" s="141"/>
      <c r="S239" s="141"/>
      <c r="T239" s="141"/>
      <c r="U239" s="141"/>
    </row>
    <row r="240" spans="1:21" x14ac:dyDescent="0.25">
      <c r="A240" s="141"/>
      <c r="B240" s="141"/>
      <c r="C240" s="141"/>
      <c r="D240" s="141"/>
      <c r="E240" s="141"/>
      <c r="F240" s="141"/>
      <c r="G240" s="141"/>
      <c r="H240" s="141"/>
      <c r="I240" s="141"/>
      <c r="J240" s="141"/>
      <c r="K240" s="141"/>
      <c r="L240" s="141"/>
      <c r="M240" s="141"/>
      <c r="N240" s="141"/>
      <c r="O240" s="141"/>
      <c r="P240" s="141"/>
      <c r="Q240" s="141"/>
      <c r="R240" s="141"/>
      <c r="S240" s="141"/>
      <c r="T240" s="141"/>
      <c r="U240" s="141"/>
    </row>
    <row r="241" spans="1:21" x14ac:dyDescent="0.25">
      <c r="A241" s="141"/>
      <c r="B241" s="141"/>
      <c r="C241" s="141"/>
      <c r="D241" s="141"/>
      <c r="E241" s="141"/>
      <c r="F241" s="141"/>
      <c r="G241" s="141"/>
      <c r="H241" s="141"/>
      <c r="I241" s="141"/>
      <c r="J241" s="141"/>
      <c r="K241" s="141"/>
      <c r="L241" s="141"/>
      <c r="M241" s="141"/>
      <c r="N241" s="141"/>
      <c r="O241" s="141"/>
      <c r="P241" s="141"/>
      <c r="Q241" s="141"/>
      <c r="R241" s="141"/>
      <c r="S241" s="141"/>
      <c r="T241" s="141"/>
      <c r="U241" s="141"/>
    </row>
    <row r="242" spans="1:21" x14ac:dyDescent="0.25">
      <c r="A242" s="141"/>
      <c r="B242" s="141"/>
      <c r="C242" s="141"/>
      <c r="D242" s="141"/>
      <c r="E242" s="141"/>
      <c r="F242" s="141"/>
      <c r="G242" s="141"/>
      <c r="H242" s="141"/>
      <c r="I242" s="141"/>
      <c r="J242" s="141"/>
      <c r="K242" s="141"/>
      <c r="L242" s="141"/>
      <c r="M242" s="141"/>
      <c r="N242" s="141"/>
      <c r="O242" s="141"/>
      <c r="P242" s="141"/>
      <c r="Q242" s="141"/>
      <c r="R242" s="141"/>
      <c r="S242" s="141"/>
      <c r="T242" s="141"/>
      <c r="U242" s="141"/>
    </row>
    <row r="243" spans="1:21" x14ac:dyDescent="0.25">
      <c r="A243" s="141"/>
      <c r="B243" s="141"/>
      <c r="C243" s="141"/>
      <c r="D243" s="141"/>
      <c r="E243" s="141"/>
      <c r="F243" s="141"/>
      <c r="G243" s="141"/>
      <c r="H243" s="141"/>
      <c r="I243" s="141"/>
      <c r="J243" s="141"/>
      <c r="K243" s="141"/>
      <c r="L243" s="141"/>
      <c r="M243" s="141"/>
      <c r="N243" s="141"/>
      <c r="O243" s="141"/>
      <c r="P243" s="141"/>
      <c r="Q243" s="141"/>
      <c r="R243" s="141"/>
      <c r="S243" s="141"/>
      <c r="T243" s="141"/>
      <c r="U243" s="141"/>
    </row>
    <row r="244" spans="1:21" x14ac:dyDescent="0.25">
      <c r="A244" s="141"/>
      <c r="B244" s="141"/>
      <c r="C244" s="141"/>
      <c r="D244" s="141"/>
      <c r="E244" s="141"/>
      <c r="F244" s="141"/>
      <c r="G244" s="141"/>
      <c r="H244" s="141"/>
      <c r="I244" s="141"/>
      <c r="J244" s="141"/>
      <c r="K244" s="141"/>
      <c r="L244" s="141"/>
      <c r="M244" s="141"/>
      <c r="N244" s="141"/>
      <c r="O244" s="141"/>
      <c r="P244" s="141"/>
      <c r="Q244" s="141"/>
      <c r="R244" s="141"/>
      <c r="S244" s="141"/>
      <c r="T244" s="141"/>
      <c r="U244" s="141"/>
    </row>
    <row r="245" spans="1:21" x14ac:dyDescent="0.25">
      <c r="A245" s="141"/>
      <c r="B245" s="141"/>
      <c r="C245" s="141"/>
      <c r="D245" s="141"/>
      <c r="E245" s="141"/>
      <c r="F245" s="141"/>
      <c r="G245" s="141"/>
      <c r="H245" s="141"/>
      <c r="I245" s="141"/>
      <c r="J245" s="141"/>
      <c r="K245" s="141"/>
      <c r="L245" s="141"/>
      <c r="M245" s="141"/>
      <c r="N245" s="141"/>
      <c r="O245" s="141"/>
      <c r="P245" s="141"/>
      <c r="Q245" s="141"/>
      <c r="R245" s="141"/>
      <c r="S245" s="141"/>
      <c r="T245" s="141"/>
      <c r="U245" s="141"/>
    </row>
    <row r="246" spans="1:21" x14ac:dyDescent="0.25">
      <c r="A246" s="141"/>
      <c r="B246" s="141"/>
      <c r="C246" s="141"/>
      <c r="D246" s="141"/>
      <c r="E246" s="141"/>
      <c r="F246" s="141"/>
      <c r="G246" s="141"/>
      <c r="H246" s="141"/>
      <c r="I246" s="141"/>
      <c r="J246" s="141"/>
      <c r="K246" s="141"/>
      <c r="L246" s="141"/>
      <c r="M246" s="141"/>
      <c r="N246" s="141"/>
      <c r="O246" s="141"/>
      <c r="P246" s="141"/>
      <c r="Q246" s="141"/>
      <c r="R246" s="141"/>
      <c r="S246" s="141"/>
      <c r="T246" s="141"/>
      <c r="U246" s="141"/>
    </row>
    <row r="247" spans="1:21" x14ac:dyDescent="0.25">
      <c r="A247" s="141"/>
      <c r="B247" s="141"/>
      <c r="C247" s="141"/>
      <c r="D247" s="141"/>
      <c r="E247" s="141"/>
      <c r="F247" s="141"/>
      <c r="G247" s="141"/>
      <c r="H247" s="141"/>
      <c r="I247" s="141"/>
      <c r="J247" s="141"/>
      <c r="K247" s="141"/>
      <c r="L247" s="141"/>
      <c r="M247" s="141"/>
      <c r="N247" s="141"/>
      <c r="O247" s="141"/>
      <c r="P247" s="141"/>
      <c r="Q247" s="141"/>
      <c r="R247" s="141"/>
      <c r="S247" s="141"/>
      <c r="T247" s="141"/>
      <c r="U247" s="141"/>
    </row>
    <row r="248" spans="1:21" x14ac:dyDescent="0.25">
      <c r="A248" s="141"/>
      <c r="B248" s="141"/>
      <c r="C248" s="141"/>
      <c r="D248" s="141"/>
      <c r="E248" s="141"/>
      <c r="F248" s="141"/>
      <c r="G248" s="141"/>
      <c r="H248" s="141"/>
      <c r="I248" s="141"/>
      <c r="J248" s="141"/>
      <c r="K248" s="141"/>
      <c r="L248" s="141"/>
      <c r="M248" s="141"/>
      <c r="N248" s="141"/>
      <c r="O248" s="141"/>
      <c r="P248" s="141"/>
      <c r="Q248" s="141"/>
      <c r="R248" s="141"/>
      <c r="S248" s="141"/>
      <c r="T248" s="141"/>
      <c r="U248" s="141"/>
    </row>
    <row r="249" spans="1:21" x14ac:dyDescent="0.25">
      <c r="A249" s="141"/>
      <c r="B249" s="141"/>
      <c r="C249" s="141"/>
      <c r="D249" s="141"/>
      <c r="E249" s="141"/>
      <c r="F249" s="141"/>
      <c r="G249" s="141"/>
      <c r="H249" s="141"/>
      <c r="I249" s="141"/>
      <c r="J249" s="141"/>
      <c r="K249" s="141"/>
      <c r="L249" s="141"/>
      <c r="M249" s="141"/>
      <c r="N249" s="141"/>
      <c r="O249" s="141"/>
      <c r="P249" s="141"/>
      <c r="Q249" s="141"/>
      <c r="R249" s="141"/>
      <c r="S249" s="141"/>
      <c r="T249" s="141"/>
      <c r="U249" s="141"/>
    </row>
    <row r="250" spans="1:21" x14ac:dyDescent="0.25">
      <c r="A250" s="141"/>
      <c r="B250" s="141"/>
      <c r="C250" s="141"/>
      <c r="D250" s="141"/>
      <c r="E250" s="141"/>
      <c r="F250" s="141"/>
      <c r="G250" s="141"/>
      <c r="H250" s="141"/>
      <c r="I250" s="141"/>
      <c r="J250" s="141"/>
      <c r="K250" s="141"/>
      <c r="L250" s="141"/>
      <c r="M250" s="141"/>
      <c r="N250" s="141"/>
      <c r="O250" s="141"/>
      <c r="P250" s="141"/>
      <c r="Q250" s="141"/>
      <c r="R250" s="141"/>
      <c r="S250" s="141"/>
      <c r="T250" s="141"/>
      <c r="U250" s="141"/>
    </row>
    <row r="251" spans="1:21" x14ac:dyDescent="0.25">
      <c r="A251" s="141"/>
      <c r="B251" s="141"/>
      <c r="C251" s="141"/>
      <c r="D251" s="141"/>
      <c r="E251" s="141"/>
      <c r="F251" s="141"/>
      <c r="G251" s="141"/>
      <c r="H251" s="141"/>
      <c r="I251" s="141"/>
      <c r="J251" s="141"/>
      <c r="K251" s="141"/>
      <c r="L251" s="141"/>
      <c r="M251" s="141"/>
      <c r="N251" s="141"/>
      <c r="O251" s="141"/>
      <c r="P251" s="141"/>
      <c r="Q251" s="141"/>
      <c r="R251" s="141"/>
      <c r="S251" s="141"/>
      <c r="T251" s="141"/>
      <c r="U251" s="141"/>
    </row>
    <row r="252" spans="1:21" x14ac:dyDescent="0.25">
      <c r="A252" s="141"/>
      <c r="B252" s="141"/>
      <c r="C252" s="141"/>
      <c r="D252" s="141"/>
      <c r="E252" s="141"/>
      <c r="F252" s="141"/>
      <c r="G252" s="141"/>
      <c r="H252" s="141"/>
      <c r="I252" s="141"/>
      <c r="J252" s="141"/>
      <c r="K252" s="141"/>
      <c r="L252" s="141"/>
      <c r="M252" s="141"/>
      <c r="N252" s="141"/>
      <c r="O252" s="141"/>
      <c r="P252" s="141"/>
      <c r="Q252" s="141"/>
      <c r="R252" s="141"/>
      <c r="S252" s="141"/>
      <c r="T252" s="141"/>
      <c r="U252" s="141"/>
    </row>
    <row r="253" spans="1:21" x14ac:dyDescent="0.25">
      <c r="A253" s="141"/>
      <c r="B253" s="141"/>
      <c r="C253" s="141"/>
      <c r="D253" s="141"/>
      <c r="E253" s="141"/>
      <c r="F253" s="141"/>
      <c r="G253" s="141"/>
      <c r="H253" s="141"/>
      <c r="I253" s="141"/>
      <c r="J253" s="141"/>
      <c r="K253" s="141"/>
      <c r="L253" s="141"/>
      <c r="M253" s="141"/>
      <c r="N253" s="141"/>
      <c r="O253" s="141"/>
      <c r="P253" s="141"/>
      <c r="Q253" s="141"/>
      <c r="R253" s="141"/>
      <c r="S253" s="141"/>
      <c r="T253" s="141"/>
      <c r="U253" s="141"/>
    </row>
    <row r="254" spans="1:21" x14ac:dyDescent="0.25">
      <c r="A254" s="141"/>
      <c r="B254" s="141"/>
      <c r="C254" s="141"/>
      <c r="D254" s="141"/>
      <c r="E254" s="141"/>
      <c r="F254" s="141"/>
      <c r="G254" s="141"/>
      <c r="H254" s="141"/>
      <c r="I254" s="141"/>
      <c r="J254" s="141"/>
      <c r="K254" s="141"/>
      <c r="L254" s="141"/>
      <c r="M254" s="141"/>
      <c r="N254" s="141"/>
      <c r="O254" s="141"/>
      <c r="P254" s="141"/>
      <c r="Q254" s="141"/>
      <c r="R254" s="141"/>
      <c r="S254" s="141"/>
      <c r="T254" s="141"/>
      <c r="U254" s="141"/>
    </row>
    <row r="255" spans="1:21" x14ac:dyDescent="0.25">
      <c r="A255" s="141"/>
      <c r="B255" s="141"/>
      <c r="C255" s="141"/>
      <c r="D255" s="141"/>
      <c r="E255" s="141"/>
      <c r="F255" s="141"/>
      <c r="G255" s="141"/>
      <c r="H255" s="141"/>
      <c r="I255" s="141"/>
      <c r="J255" s="141"/>
      <c r="K255" s="141"/>
      <c r="L255" s="141"/>
      <c r="M255" s="141"/>
      <c r="N255" s="141"/>
      <c r="O255" s="141"/>
      <c r="P255" s="141"/>
      <c r="Q255" s="141"/>
      <c r="R255" s="141"/>
      <c r="S255" s="141"/>
      <c r="T255" s="141"/>
      <c r="U255" s="141"/>
    </row>
    <row r="256" spans="1:21" x14ac:dyDescent="0.25">
      <c r="A256" s="141"/>
      <c r="B256" s="141"/>
      <c r="C256" s="141"/>
      <c r="D256" s="141"/>
      <c r="E256" s="141"/>
      <c r="F256" s="141"/>
      <c r="G256" s="141"/>
      <c r="H256" s="141"/>
      <c r="I256" s="141"/>
      <c r="J256" s="141"/>
      <c r="K256" s="141"/>
      <c r="L256" s="141"/>
      <c r="M256" s="141"/>
      <c r="N256" s="141"/>
      <c r="O256" s="141"/>
      <c r="P256" s="141"/>
      <c r="Q256" s="141"/>
      <c r="R256" s="141"/>
      <c r="S256" s="141"/>
      <c r="T256" s="141"/>
      <c r="U256" s="141"/>
    </row>
    <row r="257" spans="1:21" x14ac:dyDescent="0.25">
      <c r="A257" s="141"/>
      <c r="B257" s="141"/>
      <c r="C257" s="141"/>
      <c r="D257" s="141"/>
      <c r="E257" s="141"/>
      <c r="F257" s="141"/>
      <c r="G257" s="141"/>
      <c r="H257" s="141"/>
      <c r="I257" s="141"/>
      <c r="J257" s="141"/>
      <c r="K257" s="141"/>
      <c r="L257" s="141"/>
      <c r="M257" s="141"/>
      <c r="N257" s="141"/>
      <c r="O257" s="141"/>
      <c r="P257" s="141"/>
      <c r="Q257" s="141"/>
      <c r="R257" s="141"/>
      <c r="S257" s="141"/>
      <c r="T257" s="141"/>
      <c r="U257" s="141"/>
    </row>
    <row r="258" spans="1:21" x14ac:dyDescent="0.25">
      <c r="A258" s="141"/>
      <c r="B258" s="141"/>
      <c r="C258" s="141"/>
      <c r="D258" s="141"/>
      <c r="E258" s="141"/>
      <c r="F258" s="141"/>
      <c r="G258" s="141"/>
      <c r="H258" s="141"/>
      <c r="I258" s="141"/>
      <c r="J258" s="141"/>
      <c r="K258" s="141"/>
      <c r="L258" s="141"/>
      <c r="M258" s="141"/>
      <c r="N258" s="141"/>
      <c r="O258" s="141"/>
      <c r="P258" s="141"/>
      <c r="Q258" s="141"/>
      <c r="R258" s="141"/>
      <c r="S258" s="141"/>
      <c r="T258" s="141"/>
      <c r="U258" s="141"/>
    </row>
    <row r="259" spans="1:21" x14ac:dyDescent="0.25">
      <c r="A259" s="141"/>
      <c r="B259" s="141"/>
      <c r="C259" s="141"/>
      <c r="D259" s="141"/>
      <c r="E259" s="141"/>
      <c r="F259" s="141"/>
      <c r="G259" s="141"/>
      <c r="H259" s="141"/>
      <c r="I259" s="141"/>
      <c r="J259" s="141"/>
      <c r="K259" s="141"/>
      <c r="L259" s="141"/>
      <c r="M259" s="141"/>
      <c r="N259" s="141"/>
      <c r="O259" s="141"/>
      <c r="P259" s="141"/>
      <c r="Q259" s="141"/>
      <c r="R259" s="141"/>
      <c r="S259" s="141"/>
      <c r="T259" s="141"/>
      <c r="U259" s="141"/>
    </row>
    <row r="260" spans="1:21" x14ac:dyDescent="0.25">
      <c r="A260" s="141"/>
      <c r="B260" s="141"/>
      <c r="C260" s="141"/>
      <c r="D260" s="141"/>
      <c r="E260" s="141"/>
      <c r="F260" s="141"/>
      <c r="G260" s="141"/>
      <c r="H260" s="141"/>
      <c r="I260" s="141"/>
      <c r="J260" s="141"/>
      <c r="K260" s="141"/>
      <c r="L260" s="141"/>
      <c r="M260" s="141"/>
      <c r="N260" s="141"/>
      <c r="O260" s="141"/>
      <c r="P260" s="141"/>
      <c r="Q260" s="141"/>
      <c r="R260" s="141"/>
      <c r="S260" s="141"/>
      <c r="T260" s="141"/>
      <c r="U260" s="141"/>
    </row>
    <row r="261" spans="1:21" x14ac:dyDescent="0.25">
      <c r="A261" s="141"/>
      <c r="B261" s="141"/>
      <c r="C261" s="141"/>
      <c r="D261" s="141"/>
      <c r="E261" s="141"/>
      <c r="F261" s="141"/>
      <c r="G261" s="141"/>
      <c r="H261" s="141"/>
      <c r="I261" s="141"/>
      <c r="J261" s="141"/>
      <c r="K261" s="141"/>
      <c r="L261" s="141"/>
      <c r="M261" s="141"/>
      <c r="N261" s="141"/>
      <c r="O261" s="141"/>
      <c r="P261" s="141"/>
      <c r="Q261" s="141"/>
      <c r="R261" s="141"/>
      <c r="S261" s="141"/>
      <c r="T261" s="141"/>
      <c r="U261" s="141"/>
    </row>
    <row r="262" spans="1:21" x14ac:dyDescent="0.25">
      <c r="A262" s="141"/>
      <c r="B262" s="141"/>
      <c r="C262" s="141"/>
      <c r="D262" s="141"/>
      <c r="E262" s="141"/>
      <c r="F262" s="141"/>
      <c r="G262" s="141"/>
      <c r="H262" s="141"/>
      <c r="I262" s="141"/>
      <c r="J262" s="141"/>
      <c r="K262" s="141"/>
      <c r="L262" s="141"/>
      <c r="M262" s="141"/>
      <c r="N262" s="141"/>
      <c r="O262" s="141"/>
      <c r="P262" s="141"/>
      <c r="Q262" s="141"/>
      <c r="R262" s="141"/>
      <c r="S262" s="141"/>
      <c r="T262" s="141"/>
      <c r="U262" s="141"/>
    </row>
    <row r="263" spans="1:21" x14ac:dyDescent="0.25">
      <c r="A263" s="141"/>
      <c r="B263" s="141"/>
      <c r="C263" s="141"/>
      <c r="D263" s="141"/>
      <c r="E263" s="141"/>
      <c r="F263" s="141"/>
      <c r="G263" s="141"/>
      <c r="H263" s="141"/>
      <c r="I263" s="141"/>
      <c r="J263" s="141"/>
      <c r="K263" s="141"/>
      <c r="L263" s="141"/>
      <c r="M263" s="141"/>
      <c r="N263" s="141"/>
      <c r="O263" s="141"/>
      <c r="P263" s="141"/>
      <c r="Q263" s="141"/>
      <c r="R263" s="141"/>
      <c r="S263" s="141"/>
      <c r="T263" s="141"/>
      <c r="U263" s="141"/>
    </row>
    <row r="264" spans="1:21" x14ac:dyDescent="0.25">
      <c r="A264" s="141"/>
      <c r="B264" s="141"/>
      <c r="C264" s="141"/>
      <c r="D264" s="141"/>
      <c r="E264" s="141"/>
      <c r="F264" s="141"/>
      <c r="G264" s="141"/>
      <c r="H264" s="141"/>
      <c r="I264" s="141"/>
      <c r="J264" s="141"/>
      <c r="K264" s="141"/>
      <c r="L264" s="141"/>
      <c r="M264" s="141"/>
      <c r="N264" s="141"/>
      <c r="O264" s="141"/>
      <c r="P264" s="141"/>
      <c r="Q264" s="141"/>
      <c r="R264" s="141"/>
      <c r="S264" s="141"/>
      <c r="T264" s="141"/>
      <c r="U264" s="141"/>
    </row>
    <row r="265" spans="1:21" x14ac:dyDescent="0.25">
      <c r="A265" s="141"/>
      <c r="B265" s="141"/>
      <c r="C265" s="141"/>
      <c r="D265" s="141"/>
      <c r="E265" s="141"/>
      <c r="F265" s="141"/>
      <c r="G265" s="141"/>
      <c r="H265" s="141"/>
      <c r="I265" s="141"/>
      <c r="J265" s="141"/>
      <c r="K265" s="141"/>
      <c r="L265" s="141"/>
      <c r="M265" s="141"/>
      <c r="N265" s="141"/>
      <c r="O265" s="141"/>
      <c r="P265" s="141"/>
      <c r="Q265" s="141"/>
      <c r="R265" s="141"/>
      <c r="S265" s="141"/>
      <c r="T265" s="141"/>
      <c r="U265" s="141"/>
    </row>
    <row r="266" spans="1:21" x14ac:dyDescent="0.25">
      <c r="A266" s="141"/>
      <c r="B266" s="141"/>
      <c r="C266" s="141"/>
      <c r="D266" s="141"/>
      <c r="E266" s="141"/>
      <c r="F266" s="141"/>
      <c r="G266" s="141"/>
      <c r="H266" s="141"/>
      <c r="I266" s="141"/>
      <c r="J266" s="141"/>
      <c r="K266" s="141"/>
      <c r="L266" s="141"/>
      <c r="M266" s="141"/>
      <c r="N266" s="141"/>
      <c r="O266" s="141"/>
      <c r="P266" s="141"/>
      <c r="Q266" s="141"/>
      <c r="R266" s="141"/>
      <c r="S266" s="141"/>
      <c r="T266" s="141"/>
      <c r="U266" s="141"/>
    </row>
    <row r="267" spans="1:21" x14ac:dyDescent="0.25">
      <c r="A267" s="141"/>
      <c r="B267" s="141"/>
      <c r="C267" s="141"/>
      <c r="D267" s="141"/>
      <c r="E267" s="141"/>
      <c r="F267" s="141"/>
      <c r="G267" s="141"/>
      <c r="H267" s="141"/>
      <c r="I267" s="141"/>
      <c r="J267" s="141"/>
      <c r="K267" s="141"/>
      <c r="L267" s="141"/>
      <c r="M267" s="141"/>
      <c r="N267" s="141"/>
      <c r="O267" s="141"/>
      <c r="P267" s="141"/>
      <c r="Q267" s="141"/>
      <c r="R267" s="141"/>
      <c r="S267" s="141"/>
      <c r="T267" s="141"/>
      <c r="U267" s="141"/>
    </row>
    <row r="268" spans="1:21" x14ac:dyDescent="0.25">
      <c r="A268" s="141"/>
      <c r="B268" s="141"/>
      <c r="C268" s="141"/>
      <c r="D268" s="141"/>
      <c r="E268" s="141"/>
      <c r="F268" s="141"/>
      <c r="G268" s="141"/>
      <c r="H268" s="141"/>
      <c r="I268" s="141"/>
      <c r="J268" s="141"/>
      <c r="K268" s="141"/>
      <c r="L268" s="141"/>
      <c r="M268" s="141"/>
      <c r="N268" s="141"/>
      <c r="O268" s="141"/>
      <c r="P268" s="141"/>
      <c r="Q268" s="141"/>
      <c r="R268" s="141"/>
      <c r="S268" s="141"/>
      <c r="T268" s="141"/>
      <c r="U268" s="141"/>
    </row>
    <row r="269" spans="1:21" x14ac:dyDescent="0.25">
      <c r="A269" s="141"/>
      <c r="B269" s="141"/>
      <c r="C269" s="141"/>
      <c r="D269" s="141"/>
      <c r="E269" s="141"/>
      <c r="F269" s="141"/>
      <c r="G269" s="141"/>
      <c r="H269" s="141"/>
      <c r="I269" s="141"/>
      <c r="J269" s="141"/>
      <c r="K269" s="141"/>
      <c r="L269" s="141"/>
      <c r="M269" s="141"/>
      <c r="N269" s="141"/>
      <c r="O269" s="141"/>
      <c r="P269" s="141"/>
      <c r="Q269" s="141"/>
      <c r="R269" s="141"/>
      <c r="S269" s="141"/>
      <c r="T269" s="141"/>
      <c r="U269" s="141"/>
    </row>
    <row r="270" spans="1:21" x14ac:dyDescent="0.25">
      <c r="A270" s="141"/>
      <c r="B270" s="141"/>
      <c r="C270" s="141"/>
      <c r="D270" s="141"/>
      <c r="E270" s="141"/>
      <c r="F270" s="141"/>
      <c r="G270" s="141"/>
      <c r="H270" s="141"/>
      <c r="I270" s="141"/>
      <c r="J270" s="141"/>
      <c r="K270" s="141"/>
      <c r="L270" s="141"/>
      <c r="M270" s="141"/>
      <c r="N270" s="141"/>
      <c r="O270" s="141"/>
      <c r="P270" s="141"/>
      <c r="Q270" s="141"/>
      <c r="R270" s="141"/>
      <c r="S270" s="141"/>
      <c r="T270" s="141"/>
      <c r="U270" s="141"/>
    </row>
    <row r="271" spans="1:21" x14ac:dyDescent="0.25">
      <c r="A271" s="141"/>
      <c r="B271" s="141"/>
      <c r="C271" s="141"/>
      <c r="D271" s="141"/>
      <c r="E271" s="141"/>
      <c r="F271" s="141"/>
      <c r="G271" s="141"/>
      <c r="H271" s="141"/>
      <c r="I271" s="141"/>
      <c r="J271" s="141"/>
      <c r="K271" s="141"/>
      <c r="L271" s="141"/>
      <c r="M271" s="141"/>
      <c r="N271" s="141"/>
      <c r="O271" s="141"/>
      <c r="P271" s="141"/>
      <c r="Q271" s="141"/>
      <c r="R271" s="141"/>
      <c r="S271" s="141"/>
      <c r="T271" s="141"/>
      <c r="U271" s="141"/>
    </row>
    <row r="272" spans="1:21" x14ac:dyDescent="0.25">
      <c r="A272" s="141"/>
      <c r="B272" s="141"/>
      <c r="C272" s="141"/>
      <c r="D272" s="141"/>
      <c r="E272" s="141"/>
      <c r="F272" s="141"/>
      <c r="G272" s="141"/>
      <c r="H272" s="141"/>
      <c r="I272" s="141"/>
      <c r="J272" s="141"/>
      <c r="K272" s="141"/>
      <c r="L272" s="141"/>
      <c r="M272" s="141"/>
      <c r="N272" s="141"/>
      <c r="O272" s="141"/>
      <c r="P272" s="141"/>
      <c r="Q272" s="141"/>
      <c r="R272" s="141"/>
      <c r="S272" s="141"/>
      <c r="T272" s="141"/>
      <c r="U272" s="141"/>
    </row>
    <row r="273" spans="1:21" x14ac:dyDescent="0.25">
      <c r="A273" s="141"/>
      <c r="B273" s="141"/>
      <c r="C273" s="141"/>
      <c r="D273" s="141"/>
      <c r="E273" s="141"/>
      <c r="F273" s="141"/>
      <c r="G273" s="141"/>
      <c r="H273" s="141"/>
      <c r="I273" s="141"/>
      <c r="J273" s="141"/>
      <c r="K273" s="141"/>
      <c r="L273" s="141"/>
      <c r="M273" s="141"/>
      <c r="N273" s="141"/>
      <c r="O273" s="141"/>
      <c r="P273" s="141"/>
      <c r="Q273" s="141"/>
      <c r="R273" s="141"/>
      <c r="S273" s="141"/>
      <c r="T273" s="141"/>
      <c r="U273" s="141"/>
    </row>
    <row r="274" spans="1:21" x14ac:dyDescent="0.25">
      <c r="A274" s="141"/>
      <c r="B274" s="141"/>
      <c r="C274" s="141"/>
      <c r="D274" s="141"/>
      <c r="E274" s="141"/>
      <c r="F274" s="141"/>
      <c r="G274" s="141"/>
      <c r="H274" s="141"/>
      <c r="I274" s="141"/>
      <c r="J274" s="141"/>
      <c r="K274" s="141"/>
      <c r="L274" s="141"/>
      <c r="M274" s="141"/>
      <c r="N274" s="141"/>
      <c r="O274" s="141"/>
      <c r="P274" s="141"/>
      <c r="Q274" s="141"/>
      <c r="R274" s="141"/>
      <c r="S274" s="141"/>
      <c r="T274" s="141"/>
      <c r="U274" s="141"/>
    </row>
    <row r="275" spans="1:21" x14ac:dyDescent="0.25">
      <c r="A275" s="141"/>
      <c r="B275" s="141"/>
      <c r="C275" s="141"/>
      <c r="D275" s="141"/>
      <c r="E275" s="141"/>
      <c r="F275" s="141"/>
      <c r="G275" s="141"/>
      <c r="H275" s="141"/>
      <c r="I275" s="141"/>
      <c r="J275" s="141"/>
      <c r="K275" s="141"/>
      <c r="L275" s="141"/>
      <c r="M275" s="141"/>
      <c r="N275" s="141"/>
      <c r="O275" s="141"/>
      <c r="P275" s="141"/>
      <c r="Q275" s="141"/>
      <c r="R275" s="141"/>
      <c r="S275" s="141"/>
      <c r="T275" s="141"/>
      <c r="U275" s="141"/>
    </row>
    <row r="276" spans="1:21" x14ac:dyDescent="0.25">
      <c r="A276" s="141"/>
      <c r="B276" s="141"/>
      <c r="C276" s="141"/>
      <c r="D276" s="141"/>
      <c r="E276" s="141"/>
      <c r="F276" s="141"/>
      <c r="G276" s="141"/>
      <c r="H276" s="141"/>
      <c r="I276" s="141"/>
      <c r="J276" s="141"/>
      <c r="K276" s="141"/>
      <c r="L276" s="141"/>
      <c r="M276" s="141"/>
      <c r="N276" s="141"/>
      <c r="O276" s="141"/>
      <c r="P276" s="141"/>
      <c r="Q276" s="141"/>
      <c r="R276" s="141"/>
      <c r="S276" s="141"/>
      <c r="T276" s="141"/>
      <c r="U276" s="141"/>
    </row>
    <row r="277" spans="1:21" x14ac:dyDescent="0.25">
      <c r="A277" s="141"/>
      <c r="B277" s="141"/>
      <c r="C277" s="141"/>
      <c r="D277" s="141"/>
      <c r="E277" s="141"/>
      <c r="F277" s="141"/>
      <c r="G277" s="141"/>
      <c r="H277" s="141"/>
      <c r="I277" s="141"/>
      <c r="J277" s="141"/>
      <c r="K277" s="141"/>
      <c r="L277" s="141"/>
      <c r="M277" s="141"/>
      <c r="N277" s="141"/>
      <c r="O277" s="141"/>
      <c r="P277" s="141"/>
      <c r="Q277" s="141"/>
      <c r="R277" s="141"/>
      <c r="S277" s="141"/>
      <c r="T277" s="141"/>
      <c r="U277" s="141"/>
    </row>
    <row r="278" spans="1:21" x14ac:dyDescent="0.25">
      <c r="A278" s="141"/>
      <c r="B278" s="141"/>
      <c r="C278" s="141"/>
      <c r="D278" s="141"/>
      <c r="E278" s="141"/>
      <c r="F278" s="141"/>
      <c r="G278" s="141"/>
      <c r="H278" s="141"/>
      <c r="I278" s="141"/>
      <c r="J278" s="141"/>
      <c r="K278" s="141"/>
      <c r="L278" s="141"/>
      <c r="M278" s="141"/>
      <c r="N278" s="141"/>
      <c r="O278" s="141"/>
      <c r="P278" s="141"/>
      <c r="Q278" s="141"/>
      <c r="R278" s="141"/>
      <c r="S278" s="141"/>
      <c r="T278" s="141"/>
      <c r="U278" s="141"/>
    </row>
    <row r="279" spans="1:21" x14ac:dyDescent="0.25">
      <c r="A279" s="141"/>
      <c r="B279" s="141"/>
      <c r="C279" s="141"/>
      <c r="D279" s="141"/>
      <c r="E279" s="141"/>
      <c r="F279" s="141"/>
      <c r="G279" s="141"/>
      <c r="H279" s="141"/>
      <c r="I279" s="141"/>
      <c r="J279" s="141"/>
      <c r="K279" s="141"/>
      <c r="L279" s="141"/>
      <c r="M279" s="141"/>
      <c r="N279" s="141"/>
      <c r="O279" s="141"/>
      <c r="P279" s="141"/>
      <c r="Q279" s="141"/>
      <c r="R279" s="141"/>
      <c r="S279" s="141"/>
      <c r="T279" s="141"/>
      <c r="U279" s="141"/>
    </row>
    <row r="280" spans="1:21" x14ac:dyDescent="0.25">
      <c r="A280" s="141"/>
      <c r="B280" s="141"/>
      <c r="C280" s="141"/>
      <c r="D280" s="141"/>
      <c r="E280" s="141"/>
      <c r="F280" s="141"/>
      <c r="G280" s="141"/>
      <c r="H280" s="141"/>
      <c r="I280" s="141"/>
      <c r="J280" s="141"/>
      <c r="K280" s="141"/>
      <c r="L280" s="141"/>
      <c r="M280" s="141"/>
      <c r="N280" s="141"/>
      <c r="O280" s="141"/>
      <c r="P280" s="141"/>
      <c r="Q280" s="141"/>
      <c r="R280" s="141"/>
      <c r="S280" s="141"/>
      <c r="T280" s="141"/>
      <c r="U280" s="141"/>
    </row>
    <row r="281" spans="1:21" x14ac:dyDescent="0.25">
      <c r="A281" s="141"/>
      <c r="B281" s="141"/>
      <c r="C281" s="141"/>
      <c r="D281" s="141"/>
      <c r="E281" s="141"/>
      <c r="F281" s="141"/>
      <c r="G281" s="141"/>
      <c r="H281" s="141"/>
      <c r="I281" s="141"/>
      <c r="J281" s="141"/>
      <c r="K281" s="141"/>
      <c r="L281" s="141"/>
      <c r="M281" s="141"/>
      <c r="N281" s="141"/>
      <c r="O281" s="141"/>
      <c r="P281" s="141"/>
      <c r="Q281" s="141"/>
      <c r="R281" s="141"/>
      <c r="S281" s="141"/>
      <c r="T281" s="141"/>
      <c r="U281" s="141"/>
    </row>
    <row r="282" spans="1:21" x14ac:dyDescent="0.25">
      <c r="A282" s="141"/>
      <c r="B282" s="141"/>
      <c r="C282" s="141"/>
      <c r="D282" s="141"/>
      <c r="E282" s="141"/>
      <c r="F282" s="141"/>
      <c r="G282" s="141"/>
      <c r="H282" s="141"/>
      <c r="I282" s="141"/>
      <c r="J282" s="141"/>
      <c r="K282" s="141"/>
      <c r="L282" s="141"/>
      <c r="M282" s="141"/>
      <c r="N282" s="141"/>
      <c r="O282" s="141"/>
      <c r="P282" s="141"/>
      <c r="Q282" s="141"/>
      <c r="R282" s="141"/>
      <c r="S282" s="141"/>
      <c r="T282" s="141"/>
      <c r="U282" s="141"/>
    </row>
    <row r="283" spans="1:21" x14ac:dyDescent="0.25">
      <c r="A283" s="141"/>
      <c r="B283" s="141"/>
      <c r="C283" s="141"/>
      <c r="D283" s="141"/>
      <c r="E283" s="141"/>
      <c r="F283" s="141"/>
      <c r="G283" s="141"/>
      <c r="H283" s="141"/>
      <c r="I283" s="141"/>
      <c r="J283" s="141"/>
      <c r="K283" s="141"/>
      <c r="L283" s="141"/>
      <c r="M283" s="141"/>
      <c r="N283" s="141"/>
      <c r="O283" s="141"/>
      <c r="P283" s="141"/>
      <c r="Q283" s="141"/>
      <c r="R283" s="141"/>
      <c r="S283" s="141"/>
      <c r="T283" s="141"/>
      <c r="U283" s="141"/>
    </row>
    <row r="284" spans="1:21" x14ac:dyDescent="0.25">
      <c r="A284" s="141"/>
      <c r="B284" s="141"/>
      <c r="C284" s="141"/>
      <c r="D284" s="141"/>
      <c r="E284" s="141"/>
      <c r="F284" s="141"/>
      <c r="G284" s="141"/>
      <c r="H284" s="141"/>
      <c r="I284" s="141"/>
      <c r="J284" s="141"/>
      <c r="K284" s="141"/>
      <c r="L284" s="141"/>
      <c r="M284" s="141"/>
      <c r="N284" s="141"/>
      <c r="O284" s="141"/>
      <c r="P284" s="141"/>
      <c r="Q284" s="141"/>
      <c r="R284" s="141"/>
      <c r="S284" s="141"/>
      <c r="T284" s="141"/>
      <c r="U284" s="141"/>
    </row>
    <row r="285" spans="1:21" x14ac:dyDescent="0.25">
      <c r="A285" s="141"/>
      <c r="B285" s="141"/>
      <c r="C285" s="141"/>
      <c r="D285" s="141"/>
      <c r="E285" s="141"/>
      <c r="F285" s="141"/>
      <c r="G285" s="141"/>
      <c r="H285" s="141"/>
      <c r="I285" s="141"/>
      <c r="J285" s="141"/>
      <c r="K285" s="141"/>
      <c r="L285" s="141"/>
      <c r="M285" s="141"/>
      <c r="N285" s="141"/>
      <c r="O285" s="141"/>
      <c r="P285" s="141"/>
      <c r="Q285" s="141"/>
      <c r="R285" s="141"/>
      <c r="S285" s="141"/>
      <c r="T285" s="141"/>
      <c r="U285" s="141"/>
    </row>
    <row r="286" spans="1:21" x14ac:dyDescent="0.25">
      <c r="A286" s="141"/>
      <c r="B286" s="141"/>
      <c r="C286" s="141"/>
      <c r="D286" s="141"/>
      <c r="E286" s="141"/>
      <c r="F286" s="141"/>
      <c r="G286" s="141"/>
      <c r="H286" s="141"/>
      <c r="I286" s="141"/>
      <c r="J286" s="141"/>
      <c r="K286" s="141"/>
      <c r="L286" s="141"/>
      <c r="M286" s="141"/>
      <c r="N286" s="141"/>
      <c r="O286" s="141"/>
      <c r="P286" s="141"/>
      <c r="Q286" s="141"/>
      <c r="R286" s="141"/>
      <c r="S286" s="141"/>
      <c r="T286" s="141"/>
      <c r="U286" s="141"/>
    </row>
    <row r="287" spans="1:21" x14ac:dyDescent="0.25">
      <c r="A287" s="141"/>
      <c r="B287" s="141"/>
      <c r="C287" s="141"/>
      <c r="D287" s="141"/>
      <c r="E287" s="141"/>
      <c r="F287" s="141"/>
      <c r="G287" s="141"/>
      <c r="H287" s="141"/>
      <c r="I287" s="141"/>
      <c r="J287" s="141"/>
      <c r="K287" s="141"/>
      <c r="L287" s="141"/>
      <c r="M287" s="141"/>
      <c r="N287" s="141"/>
      <c r="O287" s="141"/>
      <c r="P287" s="141"/>
      <c r="Q287" s="141"/>
      <c r="R287" s="141"/>
      <c r="S287" s="141"/>
      <c r="T287" s="141"/>
      <c r="U287" s="141"/>
    </row>
    <row r="288" spans="1:21" x14ac:dyDescent="0.25">
      <c r="A288" s="141"/>
      <c r="B288" s="141"/>
      <c r="C288" s="141"/>
      <c r="D288" s="141"/>
      <c r="E288" s="141"/>
      <c r="F288" s="141"/>
      <c r="G288" s="141"/>
      <c r="H288" s="141"/>
      <c r="I288" s="141"/>
      <c r="J288" s="141"/>
      <c r="K288" s="141"/>
      <c r="L288" s="141"/>
      <c r="M288" s="141"/>
      <c r="N288" s="141"/>
      <c r="O288" s="141"/>
      <c r="P288" s="141"/>
      <c r="Q288" s="141"/>
      <c r="R288" s="141"/>
      <c r="S288" s="141"/>
      <c r="T288" s="141"/>
      <c r="U288" s="141"/>
    </row>
    <row r="289" spans="1:21" x14ac:dyDescent="0.25">
      <c r="A289" s="141"/>
      <c r="B289" s="141"/>
      <c r="C289" s="141"/>
      <c r="D289" s="141"/>
      <c r="E289" s="141"/>
      <c r="F289" s="141"/>
      <c r="G289" s="141"/>
      <c r="H289" s="141"/>
      <c r="I289" s="141"/>
      <c r="J289" s="141"/>
      <c r="K289" s="141"/>
      <c r="L289" s="141"/>
      <c r="M289" s="141"/>
      <c r="N289" s="141"/>
      <c r="O289" s="141"/>
      <c r="P289" s="141"/>
      <c r="Q289" s="141"/>
      <c r="R289" s="141"/>
      <c r="S289" s="141"/>
      <c r="T289" s="141"/>
      <c r="U289" s="141"/>
    </row>
    <row r="290" spans="1:21" x14ac:dyDescent="0.25">
      <c r="A290" s="141"/>
      <c r="B290" s="141"/>
      <c r="C290" s="141"/>
      <c r="D290" s="141"/>
      <c r="E290" s="141"/>
      <c r="F290" s="141"/>
      <c r="G290" s="141"/>
      <c r="H290" s="141"/>
      <c r="I290" s="141"/>
      <c r="J290" s="141"/>
      <c r="K290" s="141"/>
      <c r="L290" s="141"/>
      <c r="M290" s="141"/>
      <c r="N290" s="141"/>
      <c r="O290" s="141"/>
      <c r="P290" s="141"/>
      <c r="Q290" s="141"/>
      <c r="R290" s="141"/>
      <c r="S290" s="141"/>
      <c r="T290" s="141"/>
      <c r="U290" s="141"/>
    </row>
    <row r="291" spans="1:21" x14ac:dyDescent="0.25">
      <c r="A291" s="141"/>
      <c r="B291" s="141"/>
      <c r="C291" s="141"/>
      <c r="D291" s="141"/>
      <c r="E291" s="141"/>
      <c r="F291" s="141"/>
      <c r="G291" s="141"/>
      <c r="H291" s="141"/>
      <c r="I291" s="141"/>
      <c r="J291" s="141"/>
      <c r="K291" s="141"/>
      <c r="L291" s="141"/>
      <c r="M291" s="141"/>
      <c r="N291" s="141"/>
      <c r="O291" s="141"/>
      <c r="P291" s="141"/>
      <c r="Q291" s="141"/>
      <c r="R291" s="141"/>
      <c r="S291" s="141"/>
      <c r="T291" s="141"/>
      <c r="U291" s="141"/>
    </row>
    <row r="292" spans="1:21" x14ac:dyDescent="0.25">
      <c r="A292" s="141"/>
      <c r="B292" s="141"/>
      <c r="C292" s="141"/>
      <c r="D292" s="141"/>
      <c r="E292" s="141"/>
      <c r="F292" s="141"/>
      <c r="G292" s="141"/>
      <c r="H292" s="141"/>
      <c r="I292" s="141"/>
      <c r="J292" s="141"/>
      <c r="K292" s="141"/>
      <c r="L292" s="141"/>
      <c r="M292" s="141"/>
      <c r="N292" s="141"/>
      <c r="O292" s="141"/>
      <c r="P292" s="141"/>
      <c r="Q292" s="141"/>
      <c r="R292" s="141"/>
      <c r="S292" s="141"/>
      <c r="T292" s="141"/>
      <c r="U292" s="141"/>
    </row>
    <row r="293" spans="1:21" x14ac:dyDescent="0.25">
      <c r="A293" s="141"/>
      <c r="B293" s="141"/>
      <c r="C293" s="141"/>
      <c r="D293" s="141"/>
      <c r="E293" s="141"/>
      <c r="F293" s="141"/>
      <c r="G293" s="141"/>
      <c r="H293" s="141"/>
      <c r="I293" s="141"/>
      <c r="J293" s="141"/>
      <c r="K293" s="141"/>
      <c r="L293" s="141"/>
      <c r="M293" s="141"/>
      <c r="N293" s="141"/>
      <c r="O293" s="141"/>
      <c r="P293" s="141"/>
      <c r="Q293" s="141"/>
      <c r="R293" s="141"/>
      <c r="S293" s="141"/>
      <c r="T293" s="141"/>
      <c r="U293" s="141"/>
    </row>
    <row r="294" spans="1:21" x14ac:dyDescent="0.25">
      <c r="A294" s="141"/>
      <c r="B294" s="141"/>
      <c r="C294" s="141"/>
      <c r="D294" s="141"/>
      <c r="E294" s="141"/>
      <c r="F294" s="141"/>
      <c r="G294" s="141"/>
      <c r="H294" s="141"/>
      <c r="I294" s="141"/>
      <c r="J294" s="141"/>
      <c r="K294" s="141"/>
      <c r="L294" s="141"/>
      <c r="M294" s="141"/>
      <c r="N294" s="141"/>
      <c r="O294" s="141"/>
      <c r="P294" s="141"/>
      <c r="Q294" s="141"/>
      <c r="R294" s="141"/>
      <c r="S294" s="141"/>
      <c r="T294" s="141"/>
      <c r="U294" s="141"/>
    </row>
    <row r="295" spans="1:21" x14ac:dyDescent="0.25">
      <c r="A295" s="141"/>
      <c r="B295" s="141"/>
      <c r="C295" s="141"/>
      <c r="D295" s="141"/>
      <c r="E295" s="141"/>
      <c r="F295" s="141"/>
      <c r="G295" s="141"/>
      <c r="H295" s="141"/>
      <c r="I295" s="141"/>
      <c r="J295" s="141"/>
      <c r="K295" s="141"/>
      <c r="L295" s="141"/>
      <c r="M295" s="141"/>
      <c r="N295" s="141"/>
      <c r="O295" s="141"/>
      <c r="P295" s="141"/>
      <c r="Q295" s="141"/>
      <c r="R295" s="141"/>
      <c r="S295" s="141"/>
      <c r="T295" s="141"/>
      <c r="U295" s="141"/>
    </row>
    <row r="296" spans="1:21" x14ac:dyDescent="0.25">
      <c r="A296" s="141"/>
      <c r="B296" s="141"/>
      <c r="C296" s="141"/>
      <c r="D296" s="141"/>
      <c r="E296" s="141"/>
      <c r="F296" s="141"/>
      <c r="G296" s="141"/>
      <c r="H296" s="141"/>
      <c r="I296" s="141"/>
      <c r="J296" s="141"/>
      <c r="K296" s="141"/>
      <c r="L296" s="141"/>
      <c r="M296" s="141"/>
      <c r="N296" s="141"/>
      <c r="O296" s="141"/>
      <c r="P296" s="141"/>
      <c r="Q296" s="141"/>
      <c r="R296" s="141"/>
      <c r="S296" s="141"/>
      <c r="T296" s="141"/>
      <c r="U296" s="141"/>
    </row>
    <row r="297" spans="1:21" x14ac:dyDescent="0.25">
      <c r="A297" s="141"/>
      <c r="B297" s="141"/>
      <c r="C297" s="141"/>
      <c r="D297" s="141"/>
      <c r="E297" s="141"/>
      <c r="F297" s="141"/>
      <c r="G297" s="141"/>
      <c r="H297" s="141"/>
      <c r="I297" s="141"/>
      <c r="J297" s="141"/>
      <c r="K297" s="141"/>
      <c r="L297" s="141"/>
      <c r="M297" s="141"/>
      <c r="N297" s="141"/>
      <c r="O297" s="141"/>
      <c r="P297" s="141"/>
      <c r="Q297" s="141"/>
      <c r="R297" s="141"/>
      <c r="S297" s="141"/>
      <c r="T297" s="141"/>
      <c r="U297" s="141"/>
    </row>
    <row r="298" spans="1:21" x14ac:dyDescent="0.25">
      <c r="A298" s="141"/>
      <c r="B298" s="141"/>
      <c r="C298" s="141"/>
      <c r="D298" s="141"/>
      <c r="E298" s="141"/>
      <c r="F298" s="141"/>
      <c r="G298" s="141"/>
      <c r="H298" s="141"/>
      <c r="I298" s="141"/>
      <c r="J298" s="141"/>
      <c r="K298" s="141"/>
      <c r="L298" s="141"/>
      <c r="M298" s="141"/>
      <c r="N298" s="141"/>
      <c r="O298" s="141"/>
      <c r="P298" s="141"/>
      <c r="Q298" s="141"/>
      <c r="R298" s="141"/>
      <c r="S298" s="141"/>
      <c r="T298" s="141"/>
      <c r="U298" s="141"/>
    </row>
    <row r="299" spans="1:21" x14ac:dyDescent="0.25">
      <c r="A299" s="141"/>
      <c r="B299" s="141"/>
      <c r="C299" s="141"/>
      <c r="D299" s="141"/>
      <c r="E299" s="141"/>
      <c r="F299" s="141"/>
      <c r="G299" s="141"/>
      <c r="H299" s="141"/>
      <c r="I299" s="141"/>
      <c r="J299" s="141"/>
      <c r="K299" s="141"/>
      <c r="L299" s="141"/>
      <c r="M299" s="141"/>
      <c r="N299" s="141"/>
      <c r="O299" s="141"/>
      <c r="P299" s="141"/>
      <c r="Q299" s="141"/>
      <c r="R299" s="141"/>
      <c r="S299" s="141"/>
      <c r="T299" s="141"/>
      <c r="U299" s="141"/>
    </row>
    <row r="300" spans="1:21" x14ac:dyDescent="0.25">
      <c r="A300" s="141"/>
      <c r="B300" s="141"/>
      <c r="C300" s="141"/>
      <c r="D300" s="141"/>
      <c r="E300" s="141"/>
      <c r="F300" s="141"/>
      <c r="G300" s="141"/>
      <c r="H300" s="141"/>
      <c r="I300" s="141"/>
      <c r="J300" s="141"/>
      <c r="K300" s="141"/>
      <c r="L300" s="141"/>
      <c r="M300" s="141"/>
      <c r="N300" s="141"/>
      <c r="O300" s="141"/>
      <c r="P300" s="141"/>
      <c r="Q300" s="141"/>
      <c r="R300" s="141"/>
      <c r="S300" s="141"/>
      <c r="T300" s="141"/>
      <c r="U300" s="141"/>
    </row>
    <row r="301" spans="1:21" x14ac:dyDescent="0.25">
      <c r="A301" s="141"/>
      <c r="B301" s="141"/>
      <c r="C301" s="141"/>
      <c r="D301" s="141"/>
      <c r="E301" s="141"/>
      <c r="F301" s="141"/>
      <c r="G301" s="141"/>
      <c r="H301" s="141"/>
      <c r="I301" s="141"/>
      <c r="J301" s="141"/>
      <c r="K301" s="141"/>
      <c r="L301" s="141"/>
      <c r="M301" s="141"/>
      <c r="N301" s="141"/>
      <c r="O301" s="141"/>
      <c r="P301" s="141"/>
      <c r="Q301" s="141"/>
      <c r="R301" s="141"/>
      <c r="S301" s="141"/>
      <c r="T301" s="141"/>
      <c r="U301" s="141"/>
    </row>
    <row r="302" spans="1:21" x14ac:dyDescent="0.25">
      <c r="A302" s="141"/>
      <c r="B302" s="141"/>
      <c r="C302" s="141"/>
      <c r="D302" s="141"/>
      <c r="E302" s="141"/>
      <c r="F302" s="141"/>
      <c r="G302" s="141"/>
      <c r="H302" s="141"/>
      <c r="I302" s="141"/>
      <c r="J302" s="141"/>
      <c r="K302" s="141"/>
      <c r="L302" s="141"/>
      <c r="M302" s="141"/>
      <c r="N302" s="141"/>
      <c r="O302" s="141"/>
      <c r="P302" s="141"/>
      <c r="Q302" s="141"/>
      <c r="R302" s="141"/>
      <c r="S302" s="141"/>
      <c r="T302" s="141"/>
      <c r="U302" s="141"/>
    </row>
    <row r="303" spans="1:21" x14ac:dyDescent="0.25">
      <c r="A303" s="141"/>
      <c r="B303" s="141"/>
      <c r="C303" s="141"/>
      <c r="D303" s="141"/>
      <c r="E303" s="141"/>
      <c r="F303" s="141"/>
      <c r="G303" s="141"/>
      <c r="H303" s="141"/>
      <c r="I303" s="141"/>
      <c r="J303" s="141"/>
      <c r="K303" s="141"/>
      <c r="L303" s="141"/>
      <c r="M303" s="141"/>
      <c r="N303" s="141"/>
      <c r="O303" s="141"/>
      <c r="P303" s="141"/>
      <c r="Q303" s="141"/>
      <c r="R303" s="141"/>
      <c r="S303" s="141"/>
      <c r="T303" s="141"/>
      <c r="U303" s="141"/>
    </row>
    <row r="304" spans="1:21" x14ac:dyDescent="0.25">
      <c r="A304" s="141"/>
      <c r="B304" s="141"/>
      <c r="C304" s="141"/>
      <c r="D304" s="141"/>
      <c r="E304" s="141"/>
      <c r="F304" s="141"/>
      <c r="G304" s="141"/>
      <c r="H304" s="141"/>
      <c r="I304" s="141"/>
      <c r="J304" s="141"/>
      <c r="K304" s="141"/>
      <c r="L304" s="141"/>
      <c r="M304" s="141"/>
      <c r="N304" s="141"/>
      <c r="O304" s="141"/>
      <c r="P304" s="141"/>
      <c r="Q304" s="141"/>
      <c r="R304" s="141"/>
      <c r="S304" s="141"/>
      <c r="T304" s="141"/>
      <c r="U304" s="141"/>
    </row>
    <row r="305" spans="1:21" x14ac:dyDescent="0.25">
      <c r="A305" s="141"/>
      <c r="B305" s="141"/>
      <c r="C305" s="141"/>
      <c r="D305" s="141"/>
      <c r="E305" s="141"/>
      <c r="F305" s="141"/>
      <c r="G305" s="141"/>
      <c r="H305" s="141"/>
      <c r="I305" s="141"/>
      <c r="J305" s="141"/>
      <c r="K305" s="141"/>
      <c r="L305" s="141"/>
      <c r="M305" s="141"/>
      <c r="N305" s="141"/>
      <c r="O305" s="141"/>
      <c r="P305" s="141"/>
      <c r="Q305" s="141"/>
      <c r="R305" s="141"/>
      <c r="S305" s="141"/>
      <c r="T305" s="141"/>
      <c r="U305" s="141"/>
    </row>
    <row r="306" spans="1:21" x14ac:dyDescent="0.25">
      <c r="A306" s="141"/>
      <c r="B306" s="141"/>
      <c r="C306" s="141"/>
      <c r="D306" s="141"/>
      <c r="E306" s="141"/>
      <c r="F306" s="141"/>
      <c r="G306" s="141"/>
      <c r="H306" s="141"/>
      <c r="I306" s="141"/>
      <c r="J306" s="141"/>
      <c r="K306" s="141"/>
      <c r="L306" s="141"/>
      <c r="M306" s="141"/>
      <c r="N306" s="141"/>
      <c r="O306" s="141"/>
      <c r="P306" s="141"/>
      <c r="Q306" s="141"/>
      <c r="R306" s="141"/>
      <c r="S306" s="141"/>
      <c r="T306" s="141"/>
      <c r="U306" s="141"/>
    </row>
    <row r="307" spans="1:21" x14ac:dyDescent="0.25">
      <c r="A307" s="141"/>
      <c r="B307" s="141"/>
      <c r="C307" s="141"/>
      <c r="D307" s="141"/>
      <c r="E307" s="141"/>
      <c r="F307" s="141"/>
      <c r="G307" s="141"/>
      <c r="H307" s="141"/>
      <c r="I307" s="141"/>
      <c r="J307" s="141"/>
      <c r="K307" s="141"/>
      <c r="L307" s="141"/>
      <c r="M307" s="141"/>
      <c r="N307" s="141"/>
      <c r="O307" s="141"/>
      <c r="P307" s="141"/>
      <c r="Q307" s="141"/>
      <c r="R307" s="141"/>
      <c r="S307" s="141"/>
      <c r="T307" s="141"/>
      <c r="U307" s="141"/>
    </row>
    <row r="308" spans="1:21" x14ac:dyDescent="0.25">
      <c r="A308" s="141"/>
      <c r="B308" s="141"/>
      <c r="C308" s="141"/>
      <c r="D308" s="141"/>
      <c r="E308" s="141"/>
      <c r="F308" s="141"/>
      <c r="G308" s="141"/>
      <c r="H308" s="141"/>
      <c r="I308" s="141"/>
      <c r="J308" s="141"/>
      <c r="K308" s="141"/>
      <c r="L308" s="141"/>
      <c r="M308" s="141"/>
      <c r="N308" s="141"/>
      <c r="O308" s="141"/>
      <c r="P308" s="141"/>
      <c r="Q308" s="141"/>
      <c r="R308" s="141"/>
      <c r="S308" s="141"/>
      <c r="T308" s="141"/>
      <c r="U308" s="141"/>
    </row>
    <row r="309" spans="1:21" x14ac:dyDescent="0.25">
      <c r="A309" s="141"/>
      <c r="B309" s="141"/>
      <c r="C309" s="141"/>
      <c r="D309" s="141"/>
      <c r="E309" s="141"/>
      <c r="F309" s="141"/>
      <c r="G309" s="141"/>
      <c r="H309" s="141"/>
      <c r="I309" s="141"/>
      <c r="J309" s="141"/>
      <c r="K309" s="141"/>
      <c r="L309" s="141"/>
      <c r="M309" s="141"/>
      <c r="N309" s="141"/>
      <c r="O309" s="141"/>
      <c r="P309" s="141"/>
      <c r="Q309" s="141"/>
      <c r="R309" s="141"/>
      <c r="S309" s="141"/>
      <c r="T309" s="141"/>
      <c r="U309" s="141"/>
    </row>
    <row r="310" spans="1:21" x14ac:dyDescent="0.25">
      <c r="A310" s="141"/>
      <c r="B310" s="141"/>
      <c r="C310" s="141"/>
      <c r="D310" s="141"/>
      <c r="E310" s="141"/>
      <c r="F310" s="141"/>
      <c r="G310" s="141"/>
      <c r="H310" s="141"/>
      <c r="I310" s="141"/>
      <c r="J310" s="141"/>
      <c r="K310" s="141"/>
      <c r="L310" s="141"/>
      <c r="M310" s="141"/>
      <c r="N310" s="141"/>
      <c r="O310" s="141"/>
      <c r="P310" s="141"/>
      <c r="Q310" s="141"/>
      <c r="R310" s="141"/>
      <c r="S310" s="141"/>
      <c r="T310" s="141"/>
      <c r="U310" s="141"/>
    </row>
    <row r="311" spans="1:21" x14ac:dyDescent="0.25">
      <c r="A311" s="141"/>
      <c r="B311" s="141"/>
      <c r="C311" s="141"/>
      <c r="D311" s="141"/>
      <c r="E311" s="141"/>
      <c r="F311" s="141"/>
      <c r="G311" s="141"/>
      <c r="H311" s="141"/>
      <c r="I311" s="141"/>
      <c r="J311" s="141"/>
      <c r="K311" s="141"/>
      <c r="L311" s="141"/>
      <c r="M311" s="141"/>
      <c r="N311" s="141"/>
      <c r="O311" s="141"/>
      <c r="P311" s="141"/>
      <c r="Q311" s="141"/>
      <c r="R311" s="141"/>
      <c r="S311" s="141"/>
      <c r="T311" s="141"/>
      <c r="U311" s="141"/>
    </row>
    <row r="312" spans="1:21" x14ac:dyDescent="0.25">
      <c r="A312" s="141"/>
      <c r="B312" s="141"/>
      <c r="C312" s="141"/>
      <c r="D312" s="141"/>
      <c r="E312" s="141"/>
      <c r="F312" s="141"/>
      <c r="G312" s="141"/>
      <c r="H312" s="141"/>
      <c r="I312" s="141"/>
      <c r="J312" s="141"/>
      <c r="K312" s="141"/>
      <c r="L312" s="141"/>
      <c r="M312" s="141"/>
      <c r="N312" s="141"/>
      <c r="O312" s="141"/>
      <c r="P312" s="141"/>
      <c r="Q312" s="141"/>
      <c r="R312" s="141"/>
      <c r="S312" s="141"/>
      <c r="T312" s="141"/>
      <c r="U312" s="141"/>
    </row>
    <row r="313" spans="1:21" x14ac:dyDescent="0.25">
      <c r="A313" s="141"/>
      <c r="B313" s="141"/>
      <c r="C313" s="141"/>
      <c r="D313" s="141"/>
      <c r="E313" s="141"/>
      <c r="F313" s="141"/>
      <c r="G313" s="141"/>
      <c r="H313" s="141"/>
      <c r="I313" s="141"/>
      <c r="J313" s="141"/>
      <c r="K313" s="141"/>
      <c r="L313" s="141"/>
      <c r="M313" s="141"/>
      <c r="N313" s="141"/>
      <c r="O313" s="141"/>
      <c r="P313" s="141"/>
      <c r="Q313" s="141"/>
      <c r="R313" s="141"/>
      <c r="S313" s="141"/>
      <c r="T313" s="141"/>
      <c r="U313" s="141"/>
    </row>
    <row r="314" spans="1:21" x14ac:dyDescent="0.25">
      <c r="A314" s="141"/>
      <c r="B314" s="141"/>
      <c r="C314" s="141"/>
      <c r="D314" s="141"/>
      <c r="E314" s="141"/>
      <c r="F314" s="141"/>
      <c r="G314" s="141"/>
      <c r="H314" s="141"/>
      <c r="I314" s="141"/>
      <c r="J314" s="141"/>
      <c r="K314" s="141"/>
      <c r="L314" s="141"/>
      <c r="M314" s="141"/>
      <c r="N314" s="141"/>
      <c r="O314" s="141"/>
      <c r="P314" s="141"/>
      <c r="Q314" s="141"/>
      <c r="R314" s="141"/>
      <c r="S314" s="141"/>
      <c r="T314" s="141"/>
      <c r="U314" s="141"/>
    </row>
    <row r="315" spans="1:21" x14ac:dyDescent="0.25">
      <c r="A315" s="141"/>
      <c r="B315" s="141"/>
      <c r="C315" s="141"/>
      <c r="D315" s="141"/>
      <c r="E315" s="141"/>
      <c r="F315" s="141"/>
      <c r="G315" s="141"/>
      <c r="H315" s="141"/>
      <c r="I315" s="141"/>
      <c r="J315" s="141"/>
      <c r="K315" s="141"/>
      <c r="L315" s="141"/>
      <c r="M315" s="141"/>
      <c r="N315" s="141"/>
      <c r="O315" s="141"/>
      <c r="P315" s="141"/>
      <c r="Q315" s="141"/>
      <c r="R315" s="141"/>
      <c r="S315" s="141"/>
      <c r="T315" s="141"/>
      <c r="U315" s="141"/>
    </row>
    <row r="316" spans="1:21" x14ac:dyDescent="0.25">
      <c r="A316" s="141"/>
      <c r="B316" s="141"/>
      <c r="C316" s="141"/>
      <c r="D316" s="141"/>
      <c r="E316" s="141"/>
      <c r="F316" s="141"/>
      <c r="G316" s="141"/>
      <c r="H316" s="141"/>
      <c r="I316" s="141"/>
      <c r="J316" s="141"/>
      <c r="K316" s="141"/>
      <c r="L316" s="141"/>
      <c r="M316" s="141"/>
      <c r="N316" s="141"/>
      <c r="O316" s="141"/>
      <c r="P316" s="141"/>
      <c r="Q316" s="141"/>
      <c r="R316" s="141"/>
      <c r="S316" s="141"/>
      <c r="T316" s="141"/>
      <c r="U316" s="141"/>
    </row>
    <row r="317" spans="1:21" x14ac:dyDescent="0.25">
      <c r="A317" s="141"/>
      <c r="B317" s="141"/>
      <c r="C317" s="141"/>
      <c r="D317" s="141"/>
      <c r="E317" s="141"/>
      <c r="F317" s="141"/>
      <c r="G317" s="141"/>
      <c r="H317" s="141"/>
      <c r="I317" s="141"/>
      <c r="J317" s="141"/>
      <c r="K317" s="141"/>
      <c r="L317" s="141"/>
      <c r="M317" s="141"/>
      <c r="N317" s="141"/>
      <c r="O317" s="141"/>
      <c r="P317" s="141"/>
      <c r="Q317" s="141"/>
      <c r="R317" s="141"/>
      <c r="S317" s="141"/>
      <c r="T317" s="141"/>
      <c r="U317" s="141"/>
    </row>
    <row r="318" spans="1:21" x14ac:dyDescent="0.25">
      <c r="A318" s="141"/>
      <c r="B318" s="141"/>
      <c r="C318" s="141"/>
      <c r="D318" s="141"/>
      <c r="E318" s="141"/>
      <c r="F318" s="141"/>
      <c r="G318" s="141"/>
      <c r="H318" s="141"/>
      <c r="I318" s="141"/>
      <c r="J318" s="141"/>
      <c r="K318" s="141"/>
      <c r="L318" s="141"/>
      <c r="M318" s="141"/>
      <c r="N318" s="141"/>
      <c r="O318" s="141"/>
      <c r="P318" s="141"/>
      <c r="Q318" s="141"/>
      <c r="R318" s="141"/>
      <c r="S318" s="141"/>
      <c r="T318" s="141"/>
      <c r="U318" s="141"/>
    </row>
    <row r="319" spans="1:21" x14ac:dyDescent="0.25">
      <c r="A319" s="141"/>
      <c r="B319" s="141"/>
      <c r="C319" s="141"/>
      <c r="D319" s="141"/>
      <c r="E319" s="141"/>
      <c r="F319" s="141"/>
      <c r="G319" s="141"/>
      <c r="H319" s="141"/>
      <c r="I319" s="141"/>
      <c r="J319" s="141"/>
      <c r="K319" s="141"/>
      <c r="L319" s="141"/>
      <c r="M319" s="141"/>
      <c r="N319" s="141"/>
      <c r="O319" s="141"/>
      <c r="P319" s="141"/>
      <c r="Q319" s="141"/>
      <c r="R319" s="141"/>
      <c r="S319" s="141"/>
      <c r="T319" s="141"/>
      <c r="U319" s="141"/>
    </row>
    <row r="320" spans="1:21" x14ac:dyDescent="0.25">
      <c r="A320" s="141"/>
      <c r="B320" s="141"/>
      <c r="C320" s="141"/>
      <c r="D320" s="141"/>
      <c r="E320" s="141"/>
      <c r="F320" s="141"/>
      <c r="G320" s="141"/>
      <c r="H320" s="141"/>
      <c r="I320" s="141"/>
      <c r="J320" s="141"/>
      <c r="K320" s="141"/>
      <c r="L320" s="141"/>
      <c r="M320" s="141"/>
      <c r="N320" s="141"/>
      <c r="O320" s="141"/>
      <c r="P320" s="141"/>
      <c r="Q320" s="141"/>
      <c r="R320" s="141"/>
      <c r="S320" s="141"/>
      <c r="T320" s="141"/>
      <c r="U320" s="141"/>
    </row>
    <row r="321" spans="1:21" x14ac:dyDescent="0.25">
      <c r="A321" s="141"/>
      <c r="B321" s="141"/>
      <c r="C321" s="141"/>
      <c r="D321" s="141"/>
      <c r="E321" s="141"/>
      <c r="F321" s="141"/>
      <c r="G321" s="141"/>
      <c r="H321" s="141"/>
      <c r="I321" s="141"/>
      <c r="J321" s="141"/>
      <c r="K321" s="141"/>
      <c r="L321" s="141"/>
      <c r="M321" s="141"/>
      <c r="N321" s="141"/>
      <c r="O321" s="141"/>
      <c r="P321" s="141"/>
      <c r="Q321" s="141"/>
      <c r="R321" s="141"/>
      <c r="S321" s="141"/>
      <c r="T321" s="141"/>
      <c r="U321" s="141"/>
    </row>
    <row r="322" spans="1:21" x14ac:dyDescent="0.25">
      <c r="A322" s="141"/>
      <c r="B322" s="141"/>
      <c r="C322" s="141"/>
      <c r="D322" s="141"/>
      <c r="E322" s="141"/>
      <c r="F322" s="141"/>
      <c r="G322" s="141"/>
      <c r="H322" s="141"/>
      <c r="I322" s="141"/>
      <c r="J322" s="141"/>
      <c r="K322" s="141"/>
      <c r="L322" s="141"/>
      <c r="M322" s="141"/>
      <c r="N322" s="141"/>
      <c r="O322" s="141"/>
      <c r="P322" s="141"/>
      <c r="Q322" s="141"/>
      <c r="R322" s="141"/>
      <c r="S322" s="141"/>
      <c r="T322" s="141"/>
      <c r="U322" s="141"/>
    </row>
    <row r="323" spans="1:21" x14ac:dyDescent="0.25">
      <c r="A323" s="141"/>
      <c r="B323" s="141"/>
      <c r="C323" s="141"/>
      <c r="D323" s="141"/>
      <c r="E323" s="141"/>
      <c r="F323" s="141"/>
      <c r="G323" s="141"/>
      <c r="H323" s="141"/>
      <c r="I323" s="141"/>
      <c r="J323" s="141"/>
      <c r="K323" s="141"/>
      <c r="L323" s="141"/>
      <c r="M323" s="141"/>
      <c r="N323" s="141"/>
      <c r="O323" s="141"/>
      <c r="P323" s="141"/>
      <c r="Q323" s="141"/>
      <c r="R323" s="141"/>
      <c r="S323" s="141"/>
      <c r="T323" s="141"/>
      <c r="U323" s="141"/>
    </row>
    <row r="324" spans="1:21" x14ac:dyDescent="0.25">
      <c r="A324" s="141"/>
      <c r="B324" s="141"/>
      <c r="C324" s="141"/>
      <c r="D324" s="141"/>
      <c r="E324" s="141"/>
      <c r="F324" s="141"/>
      <c r="G324" s="141"/>
      <c r="H324" s="141"/>
      <c r="I324" s="141"/>
      <c r="J324" s="141"/>
      <c r="K324" s="141"/>
      <c r="L324" s="141"/>
      <c r="M324" s="141"/>
      <c r="N324" s="141"/>
      <c r="O324" s="141"/>
      <c r="P324" s="141"/>
      <c r="Q324" s="141"/>
      <c r="R324" s="141"/>
      <c r="S324" s="141"/>
      <c r="T324" s="141"/>
      <c r="U324" s="141"/>
    </row>
    <row r="325" spans="1:21" x14ac:dyDescent="0.25">
      <c r="A325" s="141"/>
      <c r="B325" s="141"/>
      <c r="C325" s="141"/>
      <c r="D325" s="141"/>
      <c r="E325" s="141"/>
      <c r="F325" s="141"/>
      <c r="G325" s="141"/>
      <c r="H325" s="141"/>
      <c r="I325" s="141"/>
      <c r="J325" s="141"/>
      <c r="K325" s="141"/>
      <c r="L325" s="141"/>
      <c r="M325" s="141"/>
      <c r="N325" s="141"/>
      <c r="O325" s="141"/>
      <c r="P325" s="141"/>
      <c r="Q325" s="141"/>
      <c r="R325" s="141"/>
      <c r="S325" s="141"/>
      <c r="T325" s="141"/>
      <c r="U325" s="141"/>
    </row>
    <row r="326" spans="1:21" x14ac:dyDescent="0.25">
      <c r="A326" s="141"/>
      <c r="B326" s="141"/>
      <c r="C326" s="141"/>
      <c r="D326" s="141"/>
      <c r="E326" s="141"/>
      <c r="F326" s="141"/>
      <c r="G326" s="141"/>
      <c r="H326" s="141"/>
      <c r="I326" s="141"/>
      <c r="J326" s="141"/>
      <c r="K326" s="141"/>
      <c r="L326" s="141"/>
      <c r="M326" s="141"/>
      <c r="N326" s="141"/>
      <c r="O326" s="141"/>
      <c r="P326" s="141"/>
      <c r="Q326" s="141"/>
      <c r="R326" s="141"/>
      <c r="S326" s="141"/>
      <c r="T326" s="141"/>
      <c r="U326" s="141"/>
    </row>
    <row r="327" spans="1:21" x14ac:dyDescent="0.25">
      <c r="A327" s="141"/>
      <c r="B327" s="141"/>
      <c r="C327" s="141"/>
      <c r="D327" s="141"/>
      <c r="E327" s="141"/>
      <c r="F327" s="141"/>
      <c r="G327" s="141"/>
      <c r="H327" s="141"/>
      <c r="I327" s="141"/>
      <c r="J327" s="141"/>
      <c r="K327" s="141"/>
      <c r="L327" s="141"/>
      <c r="M327" s="141"/>
      <c r="N327" s="141"/>
      <c r="O327" s="141"/>
      <c r="P327" s="141"/>
      <c r="Q327" s="141"/>
      <c r="R327" s="141"/>
      <c r="S327" s="141"/>
      <c r="T327" s="141"/>
      <c r="U327" s="141"/>
    </row>
    <row r="328" spans="1:21" x14ac:dyDescent="0.25">
      <c r="A328" s="141"/>
      <c r="B328" s="141"/>
      <c r="C328" s="141"/>
      <c r="D328" s="141"/>
      <c r="E328" s="141"/>
      <c r="F328" s="141"/>
      <c r="G328" s="141"/>
      <c r="H328" s="141"/>
      <c r="I328" s="141"/>
      <c r="J328" s="141"/>
      <c r="K328" s="141"/>
      <c r="L328" s="141"/>
      <c r="M328" s="141"/>
      <c r="N328" s="141"/>
      <c r="O328" s="141"/>
      <c r="P328" s="141"/>
      <c r="Q328" s="141"/>
      <c r="R328" s="141"/>
      <c r="S328" s="141"/>
      <c r="T328" s="141"/>
      <c r="U328" s="141"/>
    </row>
    <row r="329" spans="1:21" x14ac:dyDescent="0.25">
      <c r="A329" s="141"/>
      <c r="B329" s="141"/>
      <c r="C329" s="141"/>
      <c r="D329" s="141"/>
      <c r="E329" s="141"/>
      <c r="F329" s="141"/>
      <c r="G329" s="141"/>
      <c r="H329" s="141"/>
      <c r="I329" s="141"/>
      <c r="J329" s="141"/>
      <c r="K329" s="141"/>
      <c r="L329" s="141"/>
      <c r="M329" s="141"/>
      <c r="N329" s="141"/>
      <c r="O329" s="141"/>
      <c r="P329" s="141"/>
      <c r="Q329" s="141"/>
      <c r="R329" s="141"/>
      <c r="S329" s="141"/>
      <c r="T329" s="141"/>
      <c r="U329" s="141"/>
    </row>
    <row r="330" spans="1:21" x14ac:dyDescent="0.25">
      <c r="A330" s="141"/>
      <c r="B330" s="141"/>
      <c r="C330" s="141"/>
      <c r="D330" s="141"/>
      <c r="E330" s="141"/>
      <c r="F330" s="141"/>
      <c r="G330" s="141"/>
      <c r="H330" s="141"/>
      <c r="I330" s="141"/>
      <c r="J330" s="141"/>
      <c r="K330" s="141"/>
      <c r="L330" s="141"/>
      <c r="M330" s="141"/>
      <c r="N330" s="141"/>
      <c r="O330" s="141"/>
      <c r="P330" s="141"/>
      <c r="Q330" s="141"/>
      <c r="R330" s="141"/>
      <c r="S330" s="141"/>
      <c r="T330" s="141"/>
      <c r="U330" s="141"/>
    </row>
    <row r="331" spans="1:21" x14ac:dyDescent="0.25">
      <c r="A331" s="141"/>
      <c r="B331" s="141"/>
      <c r="C331" s="141"/>
      <c r="D331" s="141"/>
      <c r="E331" s="141"/>
      <c r="F331" s="141"/>
      <c r="G331" s="141"/>
      <c r="H331" s="141"/>
      <c r="I331" s="141"/>
      <c r="J331" s="141"/>
      <c r="K331" s="141"/>
      <c r="L331" s="141"/>
      <c r="M331" s="141"/>
      <c r="N331" s="141"/>
      <c r="O331" s="141"/>
      <c r="P331" s="141"/>
      <c r="Q331" s="141"/>
      <c r="R331" s="141"/>
      <c r="S331" s="141"/>
      <c r="T331" s="141"/>
      <c r="U331" s="141"/>
    </row>
    <row r="332" spans="1:21" x14ac:dyDescent="0.25">
      <c r="A332" s="141"/>
      <c r="B332" s="141"/>
      <c r="C332" s="141"/>
      <c r="D332" s="141"/>
      <c r="E332" s="141"/>
      <c r="F332" s="141"/>
      <c r="G332" s="141"/>
      <c r="H332" s="141"/>
      <c r="I332" s="141"/>
      <c r="J332" s="141"/>
      <c r="K332" s="141"/>
      <c r="L332" s="141"/>
      <c r="M332" s="141"/>
      <c r="N332" s="141"/>
      <c r="O332" s="141"/>
      <c r="P332" s="141"/>
      <c r="Q332" s="141"/>
      <c r="R332" s="141"/>
      <c r="S332" s="141"/>
      <c r="T332" s="141"/>
      <c r="U332" s="141"/>
    </row>
    <row r="333" spans="1:21" x14ac:dyDescent="0.25">
      <c r="A333" s="141"/>
      <c r="B333" s="141"/>
      <c r="C333" s="141"/>
      <c r="D333" s="141"/>
      <c r="E333" s="141"/>
      <c r="F333" s="141"/>
      <c r="G333" s="141"/>
      <c r="H333" s="141"/>
      <c r="I333" s="141"/>
      <c r="J333" s="141"/>
      <c r="K333" s="141"/>
      <c r="L333" s="141"/>
      <c r="M333" s="141"/>
      <c r="N333" s="141"/>
      <c r="O333" s="141"/>
      <c r="P333" s="141"/>
      <c r="Q333" s="141"/>
      <c r="R333" s="141"/>
      <c r="S333" s="141"/>
      <c r="T333" s="141"/>
      <c r="U333" s="141"/>
    </row>
    <row r="334" spans="1:21" x14ac:dyDescent="0.25">
      <c r="A334" s="141"/>
      <c r="B334" s="141"/>
      <c r="C334" s="141"/>
      <c r="D334" s="141"/>
      <c r="E334" s="141"/>
      <c r="F334" s="141"/>
      <c r="G334" s="141"/>
      <c r="H334" s="141"/>
      <c r="I334" s="141"/>
      <c r="J334" s="141"/>
      <c r="K334" s="141"/>
      <c r="L334" s="141"/>
      <c r="M334" s="141"/>
      <c r="N334" s="141"/>
      <c r="O334" s="141"/>
      <c r="P334" s="141"/>
      <c r="Q334" s="141"/>
      <c r="R334" s="141"/>
      <c r="S334" s="141"/>
      <c r="T334" s="141"/>
      <c r="U334" s="141"/>
    </row>
    <row r="335" spans="1:21" x14ac:dyDescent="0.25">
      <c r="A335" s="141"/>
      <c r="B335" s="141"/>
      <c r="C335" s="141"/>
      <c r="D335" s="141"/>
      <c r="E335" s="141"/>
      <c r="F335" s="141"/>
      <c r="G335" s="141"/>
      <c r="H335" s="141"/>
      <c r="I335" s="141"/>
      <c r="J335" s="141"/>
      <c r="K335" s="141"/>
      <c r="L335" s="141"/>
      <c r="M335" s="141"/>
      <c r="N335" s="141"/>
      <c r="O335" s="141"/>
      <c r="P335" s="141"/>
      <c r="Q335" s="141"/>
      <c r="R335" s="141"/>
      <c r="S335" s="141"/>
      <c r="T335" s="141"/>
      <c r="U335" s="141"/>
    </row>
    <row r="336" spans="1:21" x14ac:dyDescent="0.25">
      <c r="A336" s="141"/>
      <c r="B336" s="141"/>
      <c r="C336" s="141"/>
      <c r="D336" s="141"/>
      <c r="E336" s="141"/>
      <c r="F336" s="141"/>
      <c r="G336" s="141"/>
      <c r="H336" s="141"/>
      <c r="I336" s="141"/>
      <c r="J336" s="141"/>
      <c r="K336" s="141"/>
      <c r="L336" s="141"/>
      <c r="M336" s="141"/>
      <c r="N336" s="141"/>
      <c r="O336" s="141"/>
      <c r="P336" s="141"/>
      <c r="Q336" s="141"/>
      <c r="R336" s="141"/>
      <c r="S336" s="141"/>
      <c r="T336" s="141"/>
      <c r="U336" s="141"/>
    </row>
    <row r="337" spans="1:21" x14ac:dyDescent="0.25">
      <c r="A337" s="141"/>
      <c r="B337" s="141"/>
      <c r="C337" s="141"/>
      <c r="D337" s="141"/>
      <c r="E337" s="141"/>
      <c r="F337" s="141"/>
      <c r="G337" s="141"/>
      <c r="H337" s="141"/>
      <c r="I337" s="141"/>
      <c r="J337" s="141"/>
      <c r="K337" s="141"/>
      <c r="L337" s="141"/>
      <c r="M337" s="141"/>
      <c r="N337" s="141"/>
      <c r="O337" s="141"/>
      <c r="P337" s="141"/>
      <c r="Q337" s="141"/>
      <c r="R337" s="141"/>
      <c r="S337" s="141"/>
      <c r="T337" s="141"/>
      <c r="U337" s="141"/>
    </row>
    <row r="338" spans="1:21" x14ac:dyDescent="0.25">
      <c r="A338" s="141"/>
      <c r="B338" s="141"/>
      <c r="C338" s="141"/>
      <c r="D338" s="141"/>
      <c r="E338" s="141"/>
      <c r="F338" s="141"/>
      <c r="G338" s="141"/>
      <c r="H338" s="141"/>
      <c r="I338" s="141"/>
      <c r="J338" s="141"/>
      <c r="K338" s="141"/>
      <c r="L338" s="141"/>
      <c r="M338" s="141"/>
      <c r="N338" s="141"/>
      <c r="O338" s="141"/>
      <c r="P338" s="141"/>
      <c r="Q338" s="141"/>
      <c r="R338" s="141"/>
      <c r="S338" s="141"/>
      <c r="T338" s="141"/>
      <c r="U338" s="141"/>
    </row>
    <row r="339" spans="1:21" x14ac:dyDescent="0.25">
      <c r="A339" s="141"/>
      <c r="B339" s="141"/>
      <c r="C339" s="141"/>
      <c r="D339" s="141"/>
      <c r="E339" s="141"/>
      <c r="F339" s="141"/>
      <c r="G339" s="141"/>
      <c r="H339" s="141"/>
      <c r="I339" s="141"/>
      <c r="J339" s="141"/>
      <c r="K339" s="141"/>
      <c r="L339" s="141"/>
      <c r="M339" s="141"/>
      <c r="N339" s="141"/>
      <c r="O339" s="141"/>
      <c r="P339" s="141"/>
      <c r="Q339" s="141"/>
      <c r="R339" s="141"/>
      <c r="S339" s="141"/>
      <c r="T339" s="141"/>
      <c r="U339" s="141"/>
    </row>
    <row r="340" spans="1:21" x14ac:dyDescent="0.25">
      <c r="A340" s="141"/>
      <c r="B340" s="141"/>
      <c r="C340" s="141"/>
      <c r="D340" s="141"/>
      <c r="E340" s="141"/>
      <c r="F340" s="141"/>
      <c r="G340" s="141"/>
      <c r="H340" s="141"/>
      <c r="I340" s="141"/>
      <c r="J340" s="141"/>
      <c r="K340" s="141"/>
      <c r="L340" s="141"/>
      <c r="M340" s="141"/>
      <c r="N340" s="141"/>
      <c r="O340" s="141"/>
      <c r="P340" s="141"/>
      <c r="Q340" s="141"/>
      <c r="R340" s="141"/>
      <c r="S340" s="141"/>
      <c r="T340" s="141"/>
      <c r="U340" s="141"/>
    </row>
    <row r="341" spans="1:21" x14ac:dyDescent="0.25">
      <c r="A341" s="141"/>
      <c r="B341" s="141"/>
      <c r="C341" s="141"/>
      <c r="D341" s="141"/>
      <c r="E341" s="141"/>
      <c r="F341" s="141"/>
      <c r="G341" s="141"/>
      <c r="H341" s="141"/>
      <c r="I341" s="141"/>
      <c r="J341" s="141"/>
      <c r="K341" s="141"/>
      <c r="L341" s="141"/>
      <c r="M341" s="141"/>
      <c r="N341" s="141"/>
      <c r="O341" s="141"/>
      <c r="P341" s="141"/>
      <c r="Q341" s="141"/>
      <c r="R341" s="141"/>
      <c r="S341" s="141"/>
      <c r="T341" s="141"/>
      <c r="U341" s="141"/>
    </row>
    <row r="342" spans="1:21" x14ac:dyDescent="0.25">
      <c r="A342" s="141"/>
      <c r="B342" s="141"/>
      <c r="C342" s="141"/>
      <c r="D342" s="141"/>
      <c r="E342" s="141"/>
      <c r="F342" s="141"/>
      <c r="G342" s="141"/>
      <c r="H342" s="141"/>
      <c r="I342" s="141"/>
      <c r="J342" s="141"/>
      <c r="K342" s="141"/>
      <c r="L342" s="141"/>
      <c r="M342" s="141"/>
      <c r="N342" s="141"/>
      <c r="O342" s="141"/>
      <c r="P342" s="141"/>
      <c r="Q342" s="141"/>
      <c r="R342" s="141"/>
      <c r="S342" s="141"/>
      <c r="T342" s="141"/>
      <c r="U342" s="141"/>
    </row>
    <row r="343" spans="1:21" x14ac:dyDescent="0.25">
      <c r="A343" s="141"/>
      <c r="B343" s="141"/>
      <c r="C343" s="141"/>
      <c r="D343" s="141"/>
      <c r="E343" s="141"/>
      <c r="F343" s="141"/>
      <c r="G343" s="141"/>
      <c r="H343" s="141"/>
      <c r="I343" s="141"/>
      <c r="J343" s="141"/>
      <c r="K343" s="141"/>
      <c r="L343" s="141"/>
      <c r="M343" s="141"/>
      <c r="N343" s="141"/>
      <c r="O343" s="141"/>
      <c r="P343" s="141"/>
      <c r="Q343" s="141"/>
      <c r="R343" s="141"/>
      <c r="S343" s="141"/>
      <c r="T343" s="141"/>
      <c r="U343" s="141"/>
    </row>
    <row r="344" spans="1:21" x14ac:dyDescent="0.25">
      <c r="A344" s="141"/>
      <c r="B344" s="141"/>
      <c r="C344" s="141"/>
      <c r="D344" s="141"/>
      <c r="E344" s="141"/>
      <c r="F344" s="141"/>
      <c r="G344" s="141"/>
      <c r="H344" s="141"/>
      <c r="I344" s="141"/>
      <c r="J344" s="141"/>
      <c r="K344" s="141"/>
      <c r="L344" s="141"/>
      <c r="M344" s="141"/>
      <c r="N344" s="141"/>
      <c r="O344" s="141"/>
      <c r="P344" s="141"/>
      <c r="Q344" s="141"/>
      <c r="R344" s="141"/>
      <c r="S344" s="141"/>
      <c r="T344" s="141"/>
      <c r="U344" s="141"/>
    </row>
    <row r="345" spans="1:21" x14ac:dyDescent="0.25">
      <c r="A345" s="141"/>
      <c r="B345" s="141"/>
      <c r="C345" s="141"/>
      <c r="D345" s="141"/>
      <c r="E345" s="141"/>
      <c r="F345" s="141"/>
      <c r="G345" s="141"/>
      <c r="H345" s="141"/>
      <c r="I345" s="141"/>
      <c r="J345" s="141"/>
      <c r="K345" s="141"/>
      <c r="L345" s="141"/>
      <c r="M345" s="141"/>
      <c r="N345" s="141"/>
      <c r="O345" s="141"/>
      <c r="P345" s="141"/>
      <c r="Q345" s="141"/>
      <c r="R345" s="141"/>
      <c r="S345" s="141"/>
      <c r="T345" s="141"/>
      <c r="U345" s="141"/>
    </row>
    <row r="346" spans="1:21" x14ac:dyDescent="0.25">
      <c r="A346" s="141"/>
      <c r="B346" s="141"/>
      <c r="C346" s="141"/>
      <c r="D346" s="141"/>
      <c r="E346" s="141"/>
      <c r="F346" s="141"/>
      <c r="G346" s="141"/>
      <c r="H346" s="141"/>
      <c r="I346" s="141"/>
      <c r="J346" s="141"/>
      <c r="K346" s="141"/>
      <c r="L346" s="141"/>
      <c r="M346" s="141"/>
      <c r="N346" s="141"/>
      <c r="O346" s="141"/>
      <c r="P346" s="141"/>
      <c r="Q346" s="141"/>
      <c r="R346" s="141"/>
      <c r="S346" s="141"/>
      <c r="T346" s="141"/>
      <c r="U346" s="141"/>
    </row>
    <row r="347" spans="1:21" x14ac:dyDescent="0.25">
      <c r="A347" s="141"/>
      <c r="B347" s="141"/>
      <c r="C347" s="141"/>
      <c r="D347" s="141"/>
      <c r="E347" s="141"/>
      <c r="F347" s="141"/>
      <c r="G347" s="141"/>
      <c r="H347" s="141"/>
      <c r="I347" s="141"/>
      <c r="J347" s="141"/>
      <c r="K347" s="141"/>
      <c r="L347" s="141"/>
      <c r="M347" s="141"/>
      <c r="N347" s="141"/>
      <c r="O347" s="141"/>
      <c r="P347" s="141"/>
      <c r="Q347" s="141"/>
      <c r="R347" s="141"/>
      <c r="S347" s="141"/>
      <c r="T347" s="141"/>
      <c r="U347" s="141"/>
    </row>
    <row r="348" spans="1:21" x14ac:dyDescent="0.25">
      <c r="A348" s="141"/>
      <c r="B348" s="141"/>
      <c r="C348" s="141"/>
      <c r="D348" s="141"/>
      <c r="E348" s="141"/>
      <c r="F348" s="141"/>
      <c r="G348" s="141"/>
      <c r="H348" s="141"/>
      <c r="I348" s="141"/>
      <c r="J348" s="141"/>
      <c r="K348" s="141"/>
      <c r="L348" s="141"/>
      <c r="M348" s="141"/>
      <c r="N348" s="141"/>
      <c r="O348" s="141"/>
      <c r="P348" s="141"/>
      <c r="Q348" s="141"/>
      <c r="R348" s="141"/>
      <c r="S348" s="141"/>
      <c r="T348" s="141"/>
      <c r="U348" s="141"/>
    </row>
    <row r="349" spans="1:21" x14ac:dyDescent="0.25">
      <c r="A349" s="141"/>
      <c r="B349" s="141"/>
      <c r="C349" s="141"/>
      <c r="D349" s="141"/>
      <c r="E349" s="141"/>
      <c r="F349" s="141"/>
      <c r="G349" s="141"/>
      <c r="H349" s="141"/>
      <c r="I349" s="141"/>
      <c r="J349" s="141"/>
      <c r="K349" s="141"/>
      <c r="L349" s="141"/>
      <c r="M349" s="141"/>
      <c r="N349" s="141"/>
      <c r="O349" s="141"/>
      <c r="P349" s="141"/>
      <c r="Q349" s="141"/>
      <c r="R349" s="141"/>
      <c r="S349" s="141"/>
      <c r="T349" s="141"/>
      <c r="U349" s="141"/>
    </row>
    <row r="350" spans="1:21" x14ac:dyDescent="0.25">
      <c r="A350" s="141"/>
      <c r="B350" s="141"/>
      <c r="C350" s="141"/>
      <c r="D350" s="141"/>
      <c r="E350" s="141"/>
      <c r="F350" s="141"/>
      <c r="G350" s="141"/>
      <c r="H350" s="141"/>
      <c r="I350" s="141"/>
      <c r="J350" s="141"/>
      <c r="K350" s="141"/>
      <c r="L350" s="141"/>
      <c r="M350" s="141"/>
      <c r="N350" s="141"/>
      <c r="O350" s="141"/>
      <c r="P350" s="141"/>
      <c r="Q350" s="141"/>
      <c r="R350" s="141"/>
      <c r="S350" s="141"/>
      <c r="T350" s="141"/>
      <c r="U350" s="141"/>
    </row>
    <row r="351" spans="1:21" x14ac:dyDescent="0.25">
      <c r="A351" s="141"/>
      <c r="B351" s="141"/>
      <c r="C351" s="141"/>
      <c r="D351" s="141"/>
      <c r="E351" s="141"/>
      <c r="F351" s="141"/>
      <c r="G351" s="141"/>
      <c r="H351" s="141"/>
      <c r="I351" s="141"/>
      <c r="J351" s="141"/>
      <c r="K351" s="141"/>
      <c r="L351" s="141"/>
      <c r="M351" s="141"/>
      <c r="N351" s="141"/>
      <c r="O351" s="141"/>
      <c r="P351" s="141"/>
      <c r="Q351" s="141"/>
      <c r="R351" s="141"/>
      <c r="S351" s="141"/>
      <c r="T351" s="141"/>
      <c r="U351" s="141"/>
    </row>
    <row r="352" spans="1:21" x14ac:dyDescent="0.25">
      <c r="A352" s="141"/>
      <c r="B352" s="141"/>
      <c r="C352" s="141"/>
      <c r="D352" s="141"/>
      <c r="E352" s="141"/>
      <c r="F352" s="141"/>
      <c r="G352" s="141"/>
      <c r="H352" s="141"/>
      <c r="I352" s="141"/>
      <c r="J352" s="141"/>
      <c r="K352" s="141"/>
      <c r="L352" s="141"/>
      <c r="M352" s="141"/>
      <c r="N352" s="141"/>
      <c r="O352" s="141"/>
      <c r="P352" s="141"/>
      <c r="Q352" s="141"/>
      <c r="R352" s="141"/>
      <c r="S352" s="141"/>
      <c r="T352" s="141"/>
      <c r="U352" s="141"/>
    </row>
    <row r="353" spans="1:21" x14ac:dyDescent="0.25">
      <c r="A353" s="141"/>
      <c r="B353" s="141"/>
      <c r="C353" s="141"/>
      <c r="D353" s="141"/>
      <c r="E353" s="141"/>
      <c r="F353" s="141"/>
      <c r="G353" s="141"/>
      <c r="H353" s="141"/>
      <c r="I353" s="141"/>
      <c r="J353" s="141"/>
      <c r="K353" s="141"/>
      <c r="L353" s="141"/>
      <c r="M353" s="141"/>
      <c r="N353" s="141"/>
      <c r="O353" s="141"/>
      <c r="P353" s="141"/>
      <c r="Q353" s="141"/>
      <c r="R353" s="141"/>
      <c r="S353" s="141"/>
      <c r="T353" s="141"/>
      <c r="U353" s="141"/>
    </row>
    <row r="354" spans="1:21" x14ac:dyDescent="0.25">
      <c r="A354" s="141"/>
      <c r="B354" s="141"/>
      <c r="C354" s="141"/>
      <c r="D354" s="141"/>
      <c r="E354" s="141"/>
      <c r="F354" s="141"/>
      <c r="G354" s="141"/>
      <c r="H354" s="141"/>
      <c r="I354" s="141"/>
      <c r="J354" s="141"/>
      <c r="K354" s="141"/>
      <c r="L354" s="141"/>
      <c r="M354" s="141"/>
      <c r="N354" s="141"/>
      <c r="O354" s="141"/>
      <c r="P354" s="141"/>
      <c r="Q354" s="141"/>
      <c r="R354" s="141"/>
      <c r="S354" s="141"/>
      <c r="T354" s="141"/>
      <c r="U354" s="141"/>
    </row>
    <row r="355" spans="1:21" x14ac:dyDescent="0.25">
      <c r="A355" s="141"/>
      <c r="B355" s="141"/>
      <c r="C355" s="141"/>
      <c r="D355" s="141"/>
      <c r="E355" s="141"/>
      <c r="F355" s="141"/>
      <c r="G355" s="141"/>
      <c r="H355" s="141"/>
      <c r="I355" s="141"/>
      <c r="J355" s="141"/>
      <c r="K355" s="141"/>
      <c r="L355" s="141"/>
      <c r="M355" s="141"/>
      <c r="N355" s="141"/>
      <c r="O355" s="141"/>
      <c r="P355" s="141"/>
      <c r="Q355" s="141"/>
      <c r="R355" s="141"/>
      <c r="S355" s="141"/>
      <c r="T355" s="141"/>
      <c r="U355" s="141"/>
    </row>
    <row r="356" spans="1:21" x14ac:dyDescent="0.25">
      <c r="A356" s="141"/>
      <c r="B356" s="141"/>
      <c r="C356" s="141"/>
      <c r="D356" s="141"/>
      <c r="E356" s="141"/>
      <c r="F356" s="141"/>
      <c r="G356" s="141"/>
      <c r="H356" s="141"/>
      <c r="I356" s="141"/>
      <c r="J356" s="141"/>
      <c r="K356" s="141"/>
      <c r="L356" s="141"/>
      <c r="M356" s="141"/>
      <c r="N356" s="141"/>
      <c r="O356" s="141"/>
      <c r="P356" s="141"/>
      <c r="Q356" s="141"/>
      <c r="R356" s="141"/>
      <c r="S356" s="141"/>
      <c r="T356" s="141"/>
      <c r="U356" s="141"/>
    </row>
    <row r="357" spans="1:21" x14ac:dyDescent="0.25">
      <c r="A357" s="141"/>
      <c r="B357" s="141"/>
      <c r="C357" s="141"/>
      <c r="D357" s="141"/>
      <c r="E357" s="141"/>
      <c r="F357" s="141"/>
      <c r="G357" s="141"/>
      <c r="H357" s="141"/>
      <c r="I357" s="141"/>
      <c r="J357" s="141"/>
      <c r="K357" s="141"/>
      <c r="L357" s="141"/>
      <c r="M357" s="141"/>
      <c r="N357" s="141"/>
      <c r="O357" s="141"/>
      <c r="P357" s="141"/>
      <c r="Q357" s="141"/>
      <c r="R357" s="141"/>
      <c r="S357" s="141"/>
      <c r="T357" s="141"/>
      <c r="U357" s="141"/>
    </row>
    <row r="358" spans="1:21" x14ac:dyDescent="0.25">
      <c r="A358" s="141"/>
      <c r="B358" s="141"/>
      <c r="C358" s="141"/>
      <c r="D358" s="141"/>
      <c r="E358" s="141"/>
      <c r="F358" s="141"/>
      <c r="G358" s="141"/>
      <c r="H358" s="141"/>
      <c r="I358" s="141"/>
      <c r="J358" s="141"/>
      <c r="K358" s="141"/>
      <c r="L358" s="141"/>
      <c r="M358" s="141"/>
      <c r="N358" s="141"/>
      <c r="O358" s="141"/>
      <c r="P358" s="141"/>
      <c r="Q358" s="141"/>
      <c r="R358" s="141"/>
      <c r="S358" s="141"/>
      <c r="T358" s="141"/>
      <c r="U358" s="141"/>
    </row>
    <row r="359" spans="1:21" x14ac:dyDescent="0.25">
      <c r="A359" s="141"/>
      <c r="B359" s="141"/>
      <c r="C359" s="141"/>
      <c r="D359" s="141"/>
      <c r="E359" s="141"/>
      <c r="F359" s="141"/>
      <c r="G359" s="141"/>
      <c r="H359" s="141"/>
      <c r="I359" s="141"/>
      <c r="J359" s="141"/>
      <c r="K359" s="141"/>
      <c r="L359" s="141"/>
      <c r="M359" s="141"/>
      <c r="N359" s="141"/>
      <c r="O359" s="141"/>
      <c r="P359" s="141"/>
      <c r="Q359" s="141"/>
      <c r="R359" s="141"/>
      <c r="S359" s="141"/>
      <c r="T359" s="141"/>
      <c r="U359" s="141"/>
    </row>
    <row r="360" spans="1:21" x14ac:dyDescent="0.25">
      <c r="A360" s="141"/>
      <c r="B360" s="141"/>
      <c r="C360" s="141"/>
      <c r="D360" s="141"/>
      <c r="E360" s="141"/>
      <c r="F360" s="141"/>
      <c r="G360" s="141"/>
      <c r="H360" s="141"/>
      <c r="I360" s="141"/>
      <c r="J360" s="141"/>
      <c r="K360" s="141"/>
      <c r="L360" s="141"/>
      <c r="M360" s="141"/>
      <c r="N360" s="141"/>
      <c r="O360" s="141"/>
      <c r="P360" s="141"/>
      <c r="Q360" s="141"/>
      <c r="R360" s="141"/>
      <c r="S360" s="141"/>
      <c r="T360" s="141"/>
      <c r="U360" s="141"/>
    </row>
    <row r="361" spans="1:21" x14ac:dyDescent="0.25">
      <c r="A361" s="141"/>
      <c r="B361" s="141"/>
      <c r="C361" s="141"/>
      <c r="D361" s="141"/>
      <c r="E361" s="141"/>
      <c r="F361" s="141"/>
      <c r="G361" s="141"/>
      <c r="H361" s="141"/>
      <c r="I361" s="141"/>
      <c r="J361" s="141"/>
      <c r="K361" s="141"/>
      <c r="L361" s="141"/>
      <c r="M361" s="141"/>
      <c r="N361" s="141"/>
      <c r="O361" s="141"/>
      <c r="P361" s="141"/>
      <c r="Q361" s="141"/>
      <c r="R361" s="141"/>
      <c r="S361" s="141"/>
      <c r="T361" s="141"/>
      <c r="U361" s="141"/>
    </row>
    <row r="362" spans="1:21" x14ac:dyDescent="0.25">
      <c r="A362" s="141"/>
      <c r="B362" s="141"/>
      <c r="C362" s="141"/>
      <c r="D362" s="141"/>
      <c r="E362" s="141"/>
      <c r="F362" s="141"/>
      <c r="G362" s="141"/>
      <c r="H362" s="141"/>
      <c r="I362" s="141"/>
      <c r="J362" s="141"/>
      <c r="K362" s="141"/>
      <c r="L362" s="141"/>
      <c r="M362" s="141"/>
      <c r="N362" s="141"/>
      <c r="O362" s="141"/>
      <c r="P362" s="141"/>
      <c r="Q362" s="141"/>
      <c r="R362" s="141"/>
      <c r="S362" s="141"/>
      <c r="T362" s="141"/>
      <c r="U362" s="141"/>
    </row>
    <row r="363" spans="1:21" x14ac:dyDescent="0.25">
      <c r="A363" s="141"/>
      <c r="B363" s="141"/>
      <c r="C363" s="141"/>
      <c r="D363" s="141"/>
      <c r="E363" s="141"/>
      <c r="F363" s="141"/>
      <c r="G363" s="141"/>
      <c r="H363" s="141"/>
      <c r="I363" s="141"/>
      <c r="J363" s="141"/>
      <c r="K363" s="141"/>
      <c r="L363" s="141"/>
      <c r="M363" s="141"/>
      <c r="N363" s="141"/>
      <c r="O363" s="141"/>
      <c r="P363" s="141"/>
      <c r="Q363" s="141"/>
      <c r="R363" s="141"/>
      <c r="S363" s="141"/>
      <c r="T363" s="141"/>
      <c r="U363" s="141"/>
    </row>
    <row r="364" spans="1:21" x14ac:dyDescent="0.25">
      <c r="A364" s="141"/>
      <c r="B364" s="141"/>
      <c r="C364" s="141"/>
      <c r="D364" s="141"/>
      <c r="E364" s="141"/>
      <c r="F364" s="141"/>
      <c r="G364" s="141"/>
      <c r="H364" s="141"/>
      <c r="I364" s="141"/>
      <c r="J364" s="141"/>
      <c r="K364" s="141"/>
      <c r="L364" s="141"/>
      <c r="M364" s="141"/>
      <c r="N364" s="141"/>
      <c r="O364" s="141"/>
      <c r="P364" s="141"/>
      <c r="Q364" s="141"/>
      <c r="R364" s="141"/>
      <c r="S364" s="141"/>
      <c r="T364" s="141"/>
      <c r="U364" s="141"/>
    </row>
    <row r="365" spans="1:21" x14ac:dyDescent="0.25">
      <c r="A365" s="141"/>
      <c r="B365" s="141"/>
      <c r="C365" s="141"/>
      <c r="D365" s="141"/>
      <c r="E365" s="141"/>
      <c r="F365" s="141"/>
      <c r="G365" s="141"/>
      <c r="H365" s="141"/>
      <c r="I365" s="141"/>
      <c r="J365" s="141"/>
      <c r="K365" s="141"/>
      <c r="L365" s="141"/>
      <c r="M365" s="141"/>
      <c r="N365" s="141"/>
      <c r="O365" s="141"/>
      <c r="P365" s="141"/>
      <c r="Q365" s="141"/>
      <c r="R365" s="141"/>
      <c r="S365" s="141"/>
      <c r="T365" s="141"/>
      <c r="U365" s="141"/>
    </row>
    <row r="366" spans="1:21" x14ac:dyDescent="0.25">
      <c r="A366" s="141"/>
      <c r="B366" s="141"/>
      <c r="C366" s="141"/>
      <c r="D366" s="141"/>
      <c r="E366" s="141"/>
      <c r="F366" s="141"/>
      <c r="G366" s="141"/>
      <c r="H366" s="141"/>
      <c r="I366" s="141"/>
      <c r="J366" s="141"/>
      <c r="K366" s="141"/>
      <c r="L366" s="141"/>
      <c r="M366" s="141"/>
      <c r="N366" s="141"/>
      <c r="O366" s="141"/>
      <c r="P366" s="141"/>
      <c r="Q366" s="141"/>
      <c r="R366" s="141"/>
      <c r="S366" s="141"/>
      <c r="T366" s="141"/>
      <c r="U366" s="141"/>
    </row>
    <row r="367" spans="1:21" x14ac:dyDescent="0.25">
      <c r="A367" s="141"/>
      <c r="B367" s="141"/>
      <c r="C367" s="141"/>
      <c r="D367" s="141"/>
      <c r="E367" s="141"/>
      <c r="F367" s="141"/>
      <c r="G367" s="141"/>
      <c r="H367" s="141"/>
      <c r="I367" s="141"/>
      <c r="J367" s="141"/>
      <c r="K367" s="141"/>
      <c r="L367" s="141"/>
      <c r="M367" s="141"/>
      <c r="N367" s="141"/>
      <c r="O367" s="141"/>
      <c r="P367" s="141"/>
      <c r="Q367" s="141"/>
      <c r="R367" s="141"/>
      <c r="S367" s="141"/>
      <c r="T367" s="141"/>
      <c r="U367" s="141"/>
    </row>
    <row r="368" spans="1:21" x14ac:dyDescent="0.25">
      <c r="A368" s="141"/>
      <c r="B368" s="141"/>
      <c r="C368" s="141"/>
      <c r="D368" s="141"/>
      <c r="E368" s="141"/>
      <c r="F368" s="141"/>
      <c r="G368" s="141"/>
      <c r="H368" s="141"/>
      <c r="I368" s="141"/>
      <c r="J368" s="141"/>
      <c r="K368" s="141"/>
      <c r="L368" s="141"/>
      <c r="M368" s="141"/>
      <c r="N368" s="141"/>
      <c r="O368" s="141"/>
      <c r="P368" s="141"/>
      <c r="Q368" s="141"/>
      <c r="R368" s="141"/>
      <c r="S368" s="141"/>
      <c r="T368" s="141"/>
      <c r="U368" s="141"/>
    </row>
    <row r="369" spans="1:21" x14ac:dyDescent="0.25">
      <c r="A369" s="141"/>
      <c r="B369" s="141"/>
      <c r="C369" s="141"/>
      <c r="D369" s="141"/>
      <c r="E369" s="141"/>
      <c r="F369" s="141"/>
      <c r="G369" s="141"/>
      <c r="H369" s="141"/>
      <c r="I369" s="141"/>
      <c r="J369" s="141"/>
      <c r="K369" s="141"/>
      <c r="L369" s="141"/>
      <c r="M369" s="141"/>
      <c r="N369" s="141"/>
      <c r="O369" s="141"/>
      <c r="P369" s="141"/>
      <c r="Q369" s="141"/>
      <c r="R369" s="141"/>
      <c r="S369" s="141"/>
      <c r="T369" s="141"/>
      <c r="U369" s="141"/>
    </row>
    <row r="370" spans="1:21" x14ac:dyDescent="0.25">
      <c r="A370" s="141"/>
      <c r="B370" s="141"/>
      <c r="C370" s="141"/>
      <c r="D370" s="141"/>
      <c r="E370" s="141"/>
      <c r="F370" s="141"/>
      <c r="G370" s="141"/>
      <c r="H370" s="141"/>
      <c r="I370" s="141"/>
      <c r="J370" s="141"/>
      <c r="K370" s="141"/>
      <c r="L370" s="141"/>
      <c r="M370" s="141"/>
      <c r="N370" s="141"/>
      <c r="O370" s="141"/>
      <c r="P370" s="141"/>
      <c r="Q370" s="141"/>
      <c r="R370" s="141"/>
      <c r="S370" s="141"/>
      <c r="T370" s="141"/>
      <c r="U370" s="141"/>
    </row>
    <row r="371" spans="1:21" x14ac:dyDescent="0.25">
      <c r="A371" s="141"/>
      <c r="B371" s="141"/>
      <c r="C371" s="141"/>
      <c r="D371" s="141"/>
      <c r="E371" s="141"/>
      <c r="F371" s="141"/>
      <c r="G371" s="141"/>
      <c r="H371" s="141"/>
      <c r="I371" s="141"/>
      <c r="J371" s="141"/>
      <c r="K371" s="141"/>
      <c r="L371" s="141"/>
      <c r="M371" s="141"/>
      <c r="N371" s="141"/>
      <c r="O371" s="141"/>
      <c r="P371" s="141"/>
      <c r="Q371" s="141"/>
      <c r="R371" s="141"/>
      <c r="S371" s="141"/>
      <c r="T371" s="141"/>
      <c r="U371" s="141"/>
    </row>
    <row r="372" spans="1:21" x14ac:dyDescent="0.25">
      <c r="A372" s="141"/>
      <c r="B372" s="141"/>
      <c r="C372" s="141"/>
      <c r="D372" s="141"/>
      <c r="E372" s="141"/>
      <c r="F372" s="141"/>
      <c r="G372" s="141"/>
      <c r="H372" s="141"/>
      <c r="I372" s="141"/>
      <c r="J372" s="141"/>
      <c r="K372" s="141"/>
      <c r="L372" s="141"/>
      <c r="M372" s="141"/>
      <c r="N372" s="141"/>
      <c r="O372" s="141"/>
      <c r="P372" s="141"/>
      <c r="Q372" s="141"/>
      <c r="R372" s="141"/>
      <c r="S372" s="141"/>
      <c r="T372" s="141"/>
      <c r="U372" s="141"/>
    </row>
    <row r="373" spans="1:21" x14ac:dyDescent="0.25">
      <c r="A373" s="141"/>
      <c r="B373" s="141"/>
      <c r="C373" s="141"/>
      <c r="D373" s="141"/>
      <c r="E373" s="141"/>
      <c r="F373" s="141"/>
      <c r="G373" s="141"/>
      <c r="H373" s="141"/>
      <c r="I373" s="141"/>
      <c r="J373" s="141"/>
      <c r="K373" s="141"/>
      <c r="L373" s="141"/>
      <c r="M373" s="141"/>
      <c r="N373" s="141"/>
      <c r="O373" s="141"/>
      <c r="P373" s="141"/>
      <c r="Q373" s="141"/>
      <c r="R373" s="141"/>
      <c r="S373" s="141"/>
      <c r="T373" s="141"/>
      <c r="U373" s="141"/>
    </row>
    <row r="374" spans="1:21" x14ac:dyDescent="0.25">
      <c r="A374" s="141"/>
      <c r="B374" s="141"/>
      <c r="C374" s="141"/>
      <c r="D374" s="141"/>
      <c r="E374" s="141"/>
      <c r="F374" s="141"/>
      <c r="G374" s="141"/>
      <c r="H374" s="141"/>
      <c r="I374" s="141"/>
      <c r="J374" s="141"/>
      <c r="K374" s="141"/>
      <c r="L374" s="141"/>
      <c r="M374" s="141"/>
      <c r="N374" s="141"/>
      <c r="O374" s="141"/>
      <c r="P374" s="141"/>
      <c r="Q374" s="141"/>
      <c r="R374" s="141"/>
      <c r="S374" s="141"/>
      <c r="T374" s="141"/>
      <c r="U374" s="141"/>
    </row>
    <row r="375" spans="1:21" x14ac:dyDescent="0.25">
      <c r="A375" s="141"/>
      <c r="B375" s="141"/>
      <c r="C375" s="141"/>
      <c r="D375" s="141"/>
      <c r="E375" s="141"/>
      <c r="F375" s="141"/>
      <c r="G375" s="141"/>
      <c r="H375" s="141"/>
      <c r="I375" s="141"/>
      <c r="J375" s="141"/>
      <c r="K375" s="141"/>
      <c r="L375" s="141"/>
      <c r="M375" s="141"/>
      <c r="N375" s="141"/>
      <c r="O375" s="141"/>
      <c r="P375" s="141"/>
      <c r="Q375" s="141"/>
      <c r="R375" s="141"/>
      <c r="S375" s="141"/>
      <c r="T375" s="141"/>
      <c r="U375" s="141"/>
    </row>
    <row r="376" spans="1:21" x14ac:dyDescent="0.25">
      <c r="A376" s="141"/>
      <c r="B376" s="141"/>
      <c r="C376" s="141"/>
      <c r="D376" s="141"/>
      <c r="E376" s="141"/>
      <c r="F376" s="141"/>
      <c r="G376" s="141"/>
      <c r="H376" s="141"/>
      <c r="I376" s="141"/>
      <c r="J376" s="141"/>
      <c r="K376" s="141"/>
      <c r="L376" s="141"/>
      <c r="M376" s="141"/>
      <c r="N376" s="141"/>
      <c r="O376" s="141"/>
      <c r="P376" s="141"/>
      <c r="Q376" s="141"/>
      <c r="R376" s="141"/>
      <c r="S376" s="141"/>
      <c r="T376" s="141"/>
      <c r="U376" s="141"/>
    </row>
    <row r="377" spans="1:21" x14ac:dyDescent="0.25">
      <c r="A377" s="141"/>
      <c r="B377" s="141"/>
      <c r="C377" s="141"/>
      <c r="D377" s="141"/>
      <c r="E377" s="141"/>
      <c r="F377" s="141"/>
      <c r="G377" s="141"/>
      <c r="H377" s="141"/>
      <c r="I377" s="141"/>
      <c r="J377" s="141"/>
      <c r="K377" s="141"/>
      <c r="L377" s="141"/>
      <c r="M377" s="141"/>
      <c r="N377" s="141"/>
      <c r="O377" s="141"/>
      <c r="P377" s="141"/>
      <c r="Q377" s="141"/>
      <c r="R377" s="141"/>
      <c r="S377" s="141"/>
      <c r="T377" s="141"/>
      <c r="U377" s="141"/>
    </row>
    <row r="378" spans="1:21" x14ac:dyDescent="0.25">
      <c r="A378" s="141"/>
      <c r="B378" s="141"/>
      <c r="C378" s="141"/>
      <c r="D378" s="141"/>
      <c r="E378" s="141"/>
      <c r="F378" s="141"/>
      <c r="G378" s="141"/>
      <c r="H378" s="141"/>
      <c r="I378" s="141"/>
      <c r="J378" s="141"/>
      <c r="K378" s="141"/>
      <c r="L378" s="141"/>
      <c r="M378" s="141"/>
      <c r="N378" s="141"/>
      <c r="O378" s="141"/>
      <c r="P378" s="141"/>
      <c r="Q378" s="141"/>
      <c r="R378" s="141"/>
      <c r="S378" s="141"/>
      <c r="T378" s="141"/>
      <c r="U378" s="141"/>
    </row>
    <row r="379" spans="1:21" x14ac:dyDescent="0.25">
      <c r="A379" s="141"/>
      <c r="B379" s="141"/>
      <c r="C379" s="141"/>
      <c r="D379" s="141"/>
      <c r="E379" s="141"/>
      <c r="F379" s="141"/>
      <c r="G379" s="141"/>
      <c r="H379" s="141"/>
      <c r="I379" s="141"/>
      <c r="J379" s="141"/>
      <c r="K379" s="141"/>
      <c r="L379" s="141"/>
      <c r="M379" s="141"/>
      <c r="N379" s="141"/>
      <c r="O379" s="141"/>
      <c r="P379" s="141"/>
      <c r="Q379" s="141"/>
      <c r="R379" s="141"/>
      <c r="S379" s="141"/>
      <c r="T379" s="141"/>
      <c r="U379" s="141"/>
    </row>
    <row r="380" spans="1:21" x14ac:dyDescent="0.25">
      <c r="A380" s="141"/>
      <c r="B380" s="141"/>
      <c r="C380" s="141"/>
      <c r="D380" s="141"/>
      <c r="E380" s="141"/>
      <c r="F380" s="141"/>
      <c r="G380" s="141"/>
      <c r="H380" s="141"/>
      <c r="I380" s="141"/>
      <c r="J380" s="141"/>
      <c r="K380" s="141"/>
      <c r="L380" s="141"/>
      <c r="M380" s="141"/>
      <c r="N380" s="141"/>
      <c r="O380" s="141"/>
      <c r="P380" s="141"/>
      <c r="Q380" s="141"/>
      <c r="R380" s="141"/>
      <c r="S380" s="141"/>
      <c r="T380" s="141"/>
      <c r="U380" s="141"/>
    </row>
    <row r="381" spans="1:21" x14ac:dyDescent="0.25">
      <c r="A381" s="141"/>
      <c r="B381" s="141"/>
      <c r="C381" s="141"/>
      <c r="D381" s="141"/>
      <c r="E381" s="141"/>
      <c r="F381" s="141"/>
      <c r="G381" s="141"/>
      <c r="H381" s="141"/>
      <c r="I381" s="141"/>
      <c r="J381" s="141"/>
      <c r="K381" s="141"/>
      <c r="L381" s="141"/>
      <c r="M381" s="141"/>
      <c r="N381" s="141"/>
      <c r="O381" s="141"/>
      <c r="P381" s="141"/>
      <c r="Q381" s="141"/>
      <c r="R381" s="141"/>
      <c r="S381" s="141"/>
      <c r="T381" s="141"/>
      <c r="U381" s="141"/>
    </row>
    <row r="382" spans="1:21" x14ac:dyDescent="0.25">
      <c r="A382" s="141"/>
      <c r="B382" s="141"/>
      <c r="C382" s="141"/>
      <c r="D382" s="141"/>
      <c r="E382" s="141"/>
      <c r="F382" s="141"/>
      <c r="G382" s="141"/>
      <c r="H382" s="141"/>
      <c r="I382" s="141"/>
      <c r="J382" s="141"/>
      <c r="K382" s="141"/>
      <c r="L382" s="141"/>
      <c r="M382" s="141"/>
      <c r="N382" s="141"/>
      <c r="O382" s="141"/>
      <c r="P382" s="141"/>
      <c r="Q382" s="141"/>
      <c r="R382" s="141"/>
      <c r="S382" s="141"/>
      <c r="T382" s="141"/>
      <c r="U382" s="141"/>
    </row>
    <row r="383" spans="1:21" x14ac:dyDescent="0.25">
      <c r="A383" s="141"/>
      <c r="B383" s="141"/>
      <c r="C383" s="141"/>
      <c r="D383" s="141"/>
      <c r="E383" s="141"/>
      <c r="F383" s="141"/>
      <c r="G383" s="141"/>
      <c r="H383" s="141"/>
      <c r="I383" s="141"/>
      <c r="J383" s="141"/>
      <c r="K383" s="141"/>
      <c r="L383" s="141"/>
      <c r="M383" s="141"/>
      <c r="N383" s="141"/>
      <c r="O383" s="141"/>
      <c r="P383" s="141"/>
      <c r="Q383" s="141"/>
      <c r="R383" s="141"/>
      <c r="S383" s="141"/>
      <c r="T383" s="141"/>
      <c r="U383" s="141"/>
    </row>
    <row r="384" spans="1:21" x14ac:dyDescent="0.25">
      <c r="A384" s="141"/>
      <c r="B384" s="141"/>
      <c r="C384" s="141"/>
      <c r="D384" s="141"/>
      <c r="E384" s="141"/>
      <c r="F384" s="141"/>
      <c r="G384" s="141"/>
      <c r="H384" s="141"/>
      <c r="I384" s="141"/>
      <c r="J384" s="141"/>
      <c r="K384" s="141"/>
      <c r="L384" s="141"/>
      <c r="M384" s="141"/>
      <c r="N384" s="141"/>
      <c r="O384" s="141"/>
      <c r="P384" s="141"/>
      <c r="Q384" s="141"/>
      <c r="R384" s="141"/>
      <c r="S384" s="141"/>
      <c r="T384" s="141"/>
      <c r="U384" s="141"/>
    </row>
    <row r="385" spans="1:21" x14ac:dyDescent="0.25">
      <c r="A385" s="141"/>
      <c r="B385" s="141"/>
      <c r="C385" s="141"/>
      <c r="D385" s="141"/>
      <c r="E385" s="141"/>
      <c r="F385" s="141"/>
      <c r="G385" s="141"/>
      <c r="H385" s="141"/>
      <c r="I385" s="141"/>
      <c r="J385" s="141"/>
      <c r="K385" s="141"/>
      <c r="L385" s="141"/>
      <c r="M385" s="141"/>
      <c r="N385" s="141"/>
      <c r="O385" s="141"/>
      <c r="P385" s="141"/>
      <c r="Q385" s="141"/>
      <c r="R385" s="141"/>
      <c r="S385" s="141"/>
      <c r="T385" s="141"/>
      <c r="U385" s="141"/>
    </row>
    <row r="386" spans="1:21" x14ac:dyDescent="0.25">
      <c r="A386" s="141"/>
      <c r="B386" s="141"/>
      <c r="C386" s="141"/>
      <c r="D386" s="141"/>
      <c r="E386" s="141"/>
      <c r="F386" s="141"/>
      <c r="G386" s="141"/>
      <c r="H386" s="141"/>
      <c r="I386" s="141"/>
      <c r="J386" s="141"/>
      <c r="K386" s="141"/>
      <c r="L386" s="141"/>
      <c r="M386" s="141"/>
      <c r="N386" s="141"/>
      <c r="O386" s="141"/>
      <c r="P386" s="141"/>
      <c r="Q386" s="141"/>
      <c r="R386" s="141"/>
      <c r="S386" s="141"/>
      <c r="T386" s="141"/>
      <c r="U386" s="141"/>
    </row>
    <row r="387" spans="1:21" x14ac:dyDescent="0.25">
      <c r="A387" s="141"/>
      <c r="B387" s="141"/>
      <c r="C387" s="141"/>
      <c r="D387" s="141"/>
      <c r="E387" s="141"/>
      <c r="F387" s="141"/>
      <c r="G387" s="141"/>
      <c r="H387" s="141"/>
      <c r="I387" s="141"/>
      <c r="J387" s="141"/>
      <c r="K387" s="141"/>
      <c r="L387" s="141"/>
      <c r="M387" s="141"/>
      <c r="N387" s="141"/>
      <c r="O387" s="141"/>
      <c r="P387" s="141"/>
      <c r="Q387" s="141"/>
      <c r="R387" s="141"/>
      <c r="S387" s="141"/>
      <c r="T387" s="141"/>
      <c r="U387" s="141"/>
    </row>
    <row r="388" spans="1:21" x14ac:dyDescent="0.25">
      <c r="A388" s="141"/>
      <c r="B388" s="141"/>
      <c r="C388" s="141"/>
      <c r="D388" s="141"/>
      <c r="E388" s="141"/>
      <c r="F388" s="141"/>
      <c r="G388" s="141"/>
      <c r="H388" s="141"/>
      <c r="I388" s="141"/>
      <c r="J388" s="141"/>
      <c r="K388" s="141"/>
      <c r="L388" s="141"/>
      <c r="M388" s="141"/>
      <c r="N388" s="141"/>
      <c r="O388" s="141"/>
      <c r="P388" s="141"/>
      <c r="Q388" s="141"/>
      <c r="R388" s="141"/>
      <c r="S388" s="141"/>
      <c r="T388" s="141"/>
      <c r="U388" s="141"/>
    </row>
    <row r="389" spans="1:21" x14ac:dyDescent="0.25">
      <c r="A389" s="141"/>
      <c r="B389" s="141"/>
      <c r="C389" s="141"/>
      <c r="D389" s="141"/>
      <c r="E389" s="141"/>
      <c r="F389" s="141"/>
      <c r="G389" s="141"/>
      <c r="H389" s="141"/>
      <c r="I389" s="141"/>
      <c r="J389" s="141"/>
      <c r="K389" s="141"/>
      <c r="L389" s="141"/>
      <c r="M389" s="141"/>
      <c r="N389" s="141"/>
      <c r="O389" s="141"/>
      <c r="P389" s="141"/>
      <c r="Q389" s="141"/>
      <c r="R389" s="141"/>
      <c r="S389" s="141"/>
      <c r="T389" s="141"/>
      <c r="U389" s="141"/>
    </row>
    <row r="390" spans="1:21" x14ac:dyDescent="0.25">
      <c r="A390" s="141"/>
      <c r="B390" s="141"/>
      <c r="C390" s="141"/>
      <c r="D390" s="141"/>
      <c r="E390" s="141"/>
      <c r="F390" s="141"/>
      <c r="G390" s="141"/>
      <c r="H390" s="141"/>
      <c r="I390" s="141"/>
      <c r="J390" s="141"/>
      <c r="K390" s="141"/>
      <c r="L390" s="141"/>
      <c r="M390" s="141"/>
      <c r="N390" s="141"/>
      <c r="O390" s="141"/>
      <c r="P390" s="141"/>
      <c r="Q390" s="141"/>
      <c r="R390" s="141"/>
      <c r="S390" s="141"/>
      <c r="T390" s="141"/>
      <c r="U390" s="141"/>
    </row>
    <row r="391" spans="1:21" x14ac:dyDescent="0.25">
      <c r="A391" s="141"/>
      <c r="B391" s="141"/>
      <c r="C391" s="141"/>
      <c r="D391" s="141"/>
      <c r="E391" s="141"/>
      <c r="F391" s="141"/>
      <c r="G391" s="141"/>
      <c r="H391" s="141"/>
      <c r="I391" s="141"/>
      <c r="J391" s="141"/>
      <c r="K391" s="141"/>
      <c r="L391" s="141"/>
      <c r="M391" s="141"/>
      <c r="N391" s="141"/>
      <c r="O391" s="141"/>
      <c r="P391" s="141"/>
      <c r="Q391" s="141"/>
      <c r="R391" s="141"/>
      <c r="S391" s="141"/>
      <c r="T391" s="141"/>
      <c r="U391" s="141"/>
    </row>
    <row r="392" spans="1:21" x14ac:dyDescent="0.25">
      <c r="A392" s="141"/>
      <c r="B392" s="141"/>
      <c r="C392" s="141"/>
      <c r="D392" s="141"/>
      <c r="E392" s="141"/>
      <c r="F392" s="141"/>
      <c r="G392" s="141"/>
      <c r="H392" s="141"/>
      <c r="I392" s="141"/>
      <c r="J392" s="141"/>
      <c r="K392" s="141"/>
      <c r="L392" s="141"/>
      <c r="M392" s="141"/>
      <c r="N392" s="141"/>
      <c r="O392" s="141"/>
      <c r="P392" s="141"/>
      <c r="Q392" s="141"/>
      <c r="R392" s="141"/>
      <c r="S392" s="141"/>
      <c r="T392" s="141"/>
      <c r="U392" s="141"/>
    </row>
    <row r="393" spans="1:21" x14ac:dyDescent="0.25">
      <c r="A393" s="141"/>
      <c r="B393" s="141"/>
      <c r="C393" s="141"/>
      <c r="D393" s="141"/>
      <c r="E393" s="141"/>
      <c r="F393" s="141"/>
      <c r="G393" s="141"/>
      <c r="H393" s="141"/>
      <c r="I393" s="141"/>
      <c r="J393" s="141"/>
      <c r="K393" s="141"/>
      <c r="L393" s="141"/>
      <c r="M393" s="141"/>
      <c r="N393" s="141"/>
      <c r="O393" s="141"/>
      <c r="P393" s="141"/>
      <c r="Q393" s="141"/>
      <c r="R393" s="141"/>
      <c r="S393" s="141"/>
      <c r="T393" s="141"/>
      <c r="U393" s="141"/>
    </row>
    <row r="394" spans="1:21" x14ac:dyDescent="0.25">
      <c r="A394" s="141"/>
      <c r="B394" s="141"/>
      <c r="C394" s="141"/>
      <c r="D394" s="141"/>
      <c r="E394" s="141"/>
      <c r="F394" s="141"/>
      <c r="G394" s="141"/>
      <c r="H394" s="141"/>
      <c r="I394" s="141"/>
      <c r="J394" s="141"/>
      <c r="K394" s="141"/>
      <c r="L394" s="141"/>
      <c r="M394" s="141"/>
      <c r="N394" s="141"/>
      <c r="O394" s="141"/>
      <c r="P394" s="141"/>
      <c r="Q394" s="141"/>
      <c r="R394" s="141"/>
      <c r="S394" s="141"/>
      <c r="T394" s="141"/>
      <c r="U394" s="141"/>
    </row>
    <row r="395" spans="1:21" x14ac:dyDescent="0.25">
      <c r="A395" s="141"/>
      <c r="B395" s="141"/>
      <c r="C395" s="141"/>
      <c r="D395" s="141"/>
      <c r="E395" s="141"/>
      <c r="F395" s="141"/>
      <c r="G395" s="141"/>
      <c r="H395" s="141"/>
      <c r="I395" s="141"/>
      <c r="J395" s="141"/>
      <c r="K395" s="141"/>
      <c r="L395" s="141"/>
      <c r="M395" s="141"/>
      <c r="N395" s="141"/>
      <c r="O395" s="141"/>
      <c r="P395" s="141"/>
      <c r="Q395" s="141"/>
      <c r="R395" s="141"/>
      <c r="S395" s="141"/>
      <c r="T395" s="141"/>
      <c r="U395" s="141"/>
    </row>
    <row r="396" spans="1:21" x14ac:dyDescent="0.25">
      <c r="A396" s="141"/>
      <c r="B396" s="141"/>
      <c r="C396" s="141"/>
      <c r="D396" s="141"/>
      <c r="E396" s="141"/>
      <c r="F396" s="141"/>
      <c r="G396" s="141"/>
      <c r="H396" s="141"/>
      <c r="I396" s="141"/>
      <c r="J396" s="141"/>
      <c r="K396" s="141"/>
      <c r="L396" s="141"/>
      <c r="M396" s="141"/>
      <c r="N396" s="141"/>
      <c r="O396" s="141"/>
      <c r="P396" s="141"/>
      <c r="Q396" s="141"/>
      <c r="R396" s="141"/>
      <c r="S396" s="141"/>
      <c r="T396" s="141"/>
      <c r="U396" s="141"/>
    </row>
    <row r="397" spans="1:21" x14ac:dyDescent="0.25">
      <c r="A397" s="141"/>
      <c r="B397" s="141"/>
      <c r="C397" s="141"/>
      <c r="D397" s="141"/>
      <c r="E397" s="141"/>
      <c r="F397" s="141"/>
      <c r="G397" s="141"/>
      <c r="H397" s="141"/>
      <c r="I397" s="141"/>
      <c r="J397" s="141"/>
      <c r="K397" s="141"/>
      <c r="L397" s="141"/>
      <c r="M397" s="141"/>
      <c r="N397" s="141"/>
      <c r="O397" s="141"/>
      <c r="P397" s="141"/>
      <c r="Q397" s="141"/>
      <c r="R397" s="141"/>
      <c r="S397" s="141"/>
      <c r="T397" s="141"/>
      <c r="U397" s="141"/>
    </row>
    <row r="398" spans="1:21" x14ac:dyDescent="0.25">
      <c r="A398" s="141"/>
      <c r="B398" s="141"/>
      <c r="C398" s="141"/>
      <c r="D398" s="141"/>
      <c r="E398" s="141"/>
      <c r="F398" s="141"/>
      <c r="G398" s="141"/>
      <c r="H398" s="141"/>
      <c r="I398" s="141"/>
      <c r="J398" s="141"/>
      <c r="K398" s="141"/>
      <c r="L398" s="141"/>
      <c r="M398" s="141"/>
      <c r="N398" s="141"/>
      <c r="O398" s="141"/>
      <c r="P398" s="141"/>
      <c r="Q398" s="141"/>
      <c r="R398" s="141"/>
      <c r="S398" s="141"/>
      <c r="T398" s="141"/>
      <c r="U398" s="141"/>
    </row>
    <row r="399" spans="1:21" x14ac:dyDescent="0.25">
      <c r="A399" s="141"/>
      <c r="B399" s="141"/>
      <c r="C399" s="141"/>
      <c r="D399" s="141"/>
      <c r="E399" s="141"/>
      <c r="F399" s="141"/>
      <c r="G399" s="141"/>
      <c r="H399" s="141"/>
      <c r="I399" s="141"/>
      <c r="J399" s="141"/>
      <c r="K399" s="141"/>
      <c r="L399" s="141"/>
      <c r="M399" s="141"/>
      <c r="N399" s="141"/>
      <c r="O399" s="141"/>
      <c r="P399" s="141"/>
      <c r="Q399" s="141"/>
      <c r="R399" s="141"/>
      <c r="S399" s="141"/>
      <c r="T399" s="141"/>
      <c r="U399" s="141"/>
    </row>
    <row r="400" spans="1:21" x14ac:dyDescent="0.25">
      <c r="A400" s="141"/>
      <c r="B400" s="141"/>
      <c r="C400" s="141"/>
      <c r="D400" s="141"/>
      <c r="E400" s="141"/>
      <c r="F400" s="141"/>
      <c r="G400" s="141"/>
      <c r="H400" s="141"/>
      <c r="I400" s="141"/>
      <c r="J400" s="141"/>
      <c r="K400" s="141"/>
      <c r="L400" s="141"/>
      <c r="M400" s="141"/>
      <c r="N400" s="141"/>
      <c r="O400" s="141"/>
      <c r="P400" s="141"/>
      <c r="Q400" s="141"/>
      <c r="R400" s="141"/>
      <c r="S400" s="141"/>
      <c r="T400" s="141"/>
      <c r="U400" s="141"/>
    </row>
    <row r="401" spans="1:21" x14ac:dyDescent="0.25">
      <c r="A401" s="141"/>
      <c r="B401" s="141"/>
      <c r="C401" s="141"/>
      <c r="D401" s="141"/>
      <c r="E401" s="141"/>
      <c r="F401" s="141"/>
      <c r="G401" s="141"/>
      <c r="H401" s="141"/>
      <c r="I401" s="141"/>
      <c r="J401" s="141"/>
      <c r="K401" s="141"/>
      <c r="L401" s="141"/>
      <c r="M401" s="141"/>
      <c r="N401" s="141"/>
      <c r="O401" s="141"/>
      <c r="P401" s="141"/>
      <c r="Q401" s="141"/>
      <c r="R401" s="141"/>
      <c r="S401" s="141"/>
      <c r="T401" s="141"/>
      <c r="U401" s="141"/>
    </row>
    <row r="402" spans="1:21" x14ac:dyDescent="0.25">
      <c r="A402" s="141"/>
      <c r="B402" s="141"/>
      <c r="C402" s="141"/>
      <c r="D402" s="141"/>
      <c r="E402" s="141"/>
      <c r="F402" s="141"/>
      <c r="G402" s="141"/>
      <c r="H402" s="141"/>
      <c r="I402" s="141"/>
      <c r="J402" s="141"/>
      <c r="K402" s="141"/>
      <c r="L402" s="141"/>
      <c r="M402" s="141"/>
      <c r="N402" s="141"/>
      <c r="O402" s="141"/>
      <c r="P402" s="141"/>
      <c r="Q402" s="141"/>
      <c r="R402" s="141"/>
      <c r="S402" s="141"/>
      <c r="T402" s="141"/>
      <c r="U402" s="141"/>
    </row>
    <row r="403" spans="1:21" x14ac:dyDescent="0.25">
      <c r="A403" s="141"/>
      <c r="B403" s="141"/>
      <c r="C403" s="141"/>
      <c r="D403" s="141"/>
      <c r="E403" s="141"/>
      <c r="F403" s="141"/>
      <c r="G403" s="141"/>
      <c r="H403" s="141"/>
      <c r="I403" s="141"/>
      <c r="J403" s="141"/>
      <c r="K403" s="141"/>
      <c r="L403" s="141"/>
      <c r="M403" s="141"/>
      <c r="N403" s="141"/>
      <c r="O403" s="141"/>
      <c r="P403" s="141"/>
      <c r="Q403" s="141"/>
      <c r="R403" s="141"/>
      <c r="S403" s="141"/>
      <c r="T403" s="141"/>
      <c r="U403" s="141"/>
    </row>
    <row r="404" spans="1:21" x14ac:dyDescent="0.25">
      <c r="A404" s="141"/>
      <c r="B404" s="141"/>
      <c r="C404" s="141"/>
      <c r="D404" s="141"/>
      <c r="E404" s="141"/>
      <c r="F404" s="141"/>
      <c r="G404" s="141"/>
      <c r="H404" s="141"/>
      <c r="I404" s="141"/>
      <c r="J404" s="141"/>
      <c r="K404" s="141"/>
      <c r="L404" s="141"/>
      <c r="M404" s="141"/>
      <c r="N404" s="141"/>
      <c r="O404" s="141"/>
      <c r="P404" s="141"/>
      <c r="Q404" s="141"/>
      <c r="R404" s="141"/>
      <c r="S404" s="141"/>
      <c r="T404" s="141"/>
      <c r="U404" s="141"/>
    </row>
    <row r="405" spans="1:21" x14ac:dyDescent="0.25">
      <c r="A405" s="141"/>
      <c r="B405" s="141"/>
      <c r="C405" s="141"/>
      <c r="D405" s="141"/>
      <c r="E405" s="141"/>
      <c r="F405" s="141"/>
      <c r="G405" s="141"/>
      <c r="H405" s="141"/>
      <c r="I405" s="141"/>
      <c r="J405" s="141"/>
      <c r="K405" s="141"/>
      <c r="L405" s="141"/>
      <c r="M405" s="141"/>
      <c r="N405" s="141"/>
      <c r="O405" s="141"/>
      <c r="P405" s="141"/>
      <c r="Q405" s="141"/>
      <c r="R405" s="141"/>
      <c r="S405" s="141"/>
      <c r="T405" s="141"/>
      <c r="U405" s="141"/>
    </row>
    <row r="406" spans="1:21" x14ac:dyDescent="0.25">
      <c r="A406" s="141"/>
      <c r="B406" s="141"/>
      <c r="C406" s="141"/>
      <c r="D406" s="141"/>
      <c r="E406" s="141"/>
      <c r="F406" s="141"/>
      <c r="G406" s="141"/>
      <c r="H406" s="141"/>
      <c r="I406" s="141"/>
      <c r="J406" s="141"/>
      <c r="K406" s="141"/>
      <c r="L406" s="141"/>
      <c r="M406" s="141"/>
      <c r="N406" s="141"/>
      <c r="O406" s="141"/>
      <c r="P406" s="141"/>
      <c r="Q406" s="141"/>
      <c r="R406" s="141"/>
      <c r="S406" s="141"/>
      <c r="T406" s="141"/>
      <c r="U406" s="141"/>
    </row>
    <row r="407" spans="1:21" x14ac:dyDescent="0.25">
      <c r="A407" s="141"/>
      <c r="B407" s="141"/>
      <c r="C407" s="141"/>
      <c r="D407" s="141"/>
      <c r="E407" s="141"/>
      <c r="F407" s="141"/>
      <c r="G407" s="141"/>
      <c r="H407" s="141"/>
      <c r="I407" s="141"/>
      <c r="J407" s="141"/>
      <c r="K407" s="141"/>
      <c r="L407" s="141"/>
      <c r="M407" s="141"/>
      <c r="N407" s="141"/>
      <c r="O407" s="141"/>
      <c r="P407" s="141"/>
      <c r="Q407" s="141"/>
      <c r="R407" s="141"/>
      <c r="S407" s="141"/>
      <c r="T407" s="141"/>
      <c r="U407" s="141"/>
    </row>
    <row r="408" spans="1:21" x14ac:dyDescent="0.25">
      <c r="A408" s="141"/>
      <c r="B408" s="141"/>
      <c r="C408" s="141"/>
      <c r="D408" s="141"/>
      <c r="E408" s="141"/>
      <c r="F408" s="141"/>
      <c r="G408" s="141"/>
      <c r="H408" s="141"/>
      <c r="I408" s="141"/>
      <c r="J408" s="141"/>
      <c r="K408" s="141"/>
      <c r="L408" s="141"/>
      <c r="M408" s="141"/>
      <c r="N408" s="141"/>
      <c r="O408" s="141"/>
      <c r="P408" s="141"/>
      <c r="Q408" s="141"/>
      <c r="R408" s="141"/>
      <c r="S408" s="141"/>
      <c r="T408" s="141"/>
      <c r="U408" s="141"/>
    </row>
    <row r="409" spans="1:21" x14ac:dyDescent="0.25">
      <c r="A409" s="141"/>
      <c r="B409" s="141"/>
      <c r="C409" s="141"/>
      <c r="D409" s="141"/>
      <c r="E409" s="141"/>
      <c r="F409" s="141"/>
      <c r="G409" s="141"/>
      <c r="H409" s="141"/>
      <c r="I409" s="141"/>
      <c r="J409" s="141"/>
      <c r="K409" s="141"/>
      <c r="L409" s="141"/>
      <c r="M409" s="141"/>
      <c r="N409" s="141"/>
      <c r="O409" s="141"/>
      <c r="P409" s="141"/>
      <c r="Q409" s="141"/>
      <c r="R409" s="141"/>
      <c r="S409" s="141"/>
      <c r="T409" s="141"/>
      <c r="U409" s="141"/>
    </row>
    <row r="410" spans="1:21" x14ac:dyDescent="0.25">
      <c r="A410" s="141"/>
      <c r="B410" s="141"/>
      <c r="C410" s="141"/>
      <c r="D410" s="141"/>
      <c r="E410" s="141"/>
      <c r="F410" s="141"/>
      <c r="G410" s="141"/>
      <c r="H410" s="141"/>
      <c r="I410" s="141"/>
      <c r="J410" s="141"/>
      <c r="K410" s="141"/>
      <c r="L410" s="141"/>
      <c r="M410" s="141"/>
      <c r="N410" s="141"/>
      <c r="O410" s="141"/>
      <c r="P410" s="141"/>
      <c r="Q410" s="141"/>
      <c r="R410" s="141"/>
      <c r="S410" s="141"/>
      <c r="T410" s="141"/>
      <c r="U410" s="141"/>
    </row>
    <row r="411" spans="1:21" x14ac:dyDescent="0.25">
      <c r="A411" s="141"/>
      <c r="B411" s="141"/>
      <c r="C411" s="141"/>
      <c r="D411" s="141"/>
      <c r="E411" s="141"/>
      <c r="F411" s="141"/>
      <c r="G411" s="141"/>
      <c r="H411" s="141"/>
      <c r="I411" s="141"/>
      <c r="J411" s="141"/>
      <c r="K411" s="141"/>
      <c r="L411" s="141"/>
      <c r="M411" s="141"/>
      <c r="N411" s="141"/>
      <c r="O411" s="141"/>
      <c r="P411" s="141"/>
      <c r="Q411" s="141"/>
      <c r="R411" s="141"/>
      <c r="S411" s="141"/>
      <c r="T411" s="141"/>
      <c r="U411" s="141"/>
    </row>
    <row r="412" spans="1:21" x14ac:dyDescent="0.25">
      <c r="A412" s="141"/>
      <c r="B412" s="141"/>
      <c r="C412" s="141"/>
      <c r="D412" s="141"/>
      <c r="E412" s="141"/>
      <c r="F412" s="141"/>
      <c r="G412" s="141"/>
      <c r="H412" s="141"/>
      <c r="I412" s="141"/>
      <c r="J412" s="141"/>
      <c r="K412" s="141"/>
      <c r="L412" s="141"/>
      <c r="M412" s="141"/>
      <c r="N412" s="141"/>
      <c r="O412" s="141"/>
      <c r="P412" s="141"/>
      <c r="Q412" s="141"/>
      <c r="R412" s="141"/>
      <c r="S412" s="141"/>
      <c r="T412" s="141"/>
      <c r="U412" s="141"/>
    </row>
    <row r="413" spans="1:21" x14ac:dyDescent="0.25">
      <c r="A413" s="141"/>
      <c r="B413" s="141"/>
      <c r="C413" s="141"/>
      <c r="D413" s="141"/>
      <c r="E413" s="141"/>
      <c r="F413" s="141"/>
      <c r="G413" s="141"/>
      <c r="H413" s="141"/>
      <c r="I413" s="141"/>
      <c r="J413" s="141"/>
      <c r="K413" s="141"/>
      <c r="L413" s="141"/>
      <c r="M413" s="141"/>
      <c r="N413" s="141"/>
      <c r="O413" s="141"/>
      <c r="P413" s="141"/>
      <c r="Q413" s="141"/>
      <c r="R413" s="141"/>
      <c r="S413" s="141"/>
      <c r="T413" s="141"/>
      <c r="U413" s="141"/>
    </row>
    <row r="414" spans="1:21" x14ac:dyDescent="0.25">
      <c r="A414" s="141"/>
      <c r="B414" s="141"/>
      <c r="C414" s="141"/>
      <c r="D414" s="141"/>
      <c r="E414" s="141"/>
      <c r="F414" s="141"/>
      <c r="G414" s="141"/>
      <c r="H414" s="141"/>
      <c r="I414" s="141"/>
      <c r="J414" s="141"/>
      <c r="K414" s="141"/>
      <c r="L414" s="141"/>
      <c r="M414" s="141"/>
      <c r="N414" s="141"/>
      <c r="O414" s="141"/>
      <c r="P414" s="141"/>
      <c r="Q414" s="141"/>
      <c r="R414" s="141"/>
      <c r="S414" s="141"/>
      <c r="T414" s="141"/>
      <c r="U414" s="141"/>
    </row>
    <row r="415" spans="1:21" x14ac:dyDescent="0.25">
      <c r="A415" s="141"/>
      <c r="B415" s="141"/>
      <c r="C415" s="141"/>
      <c r="D415" s="141"/>
      <c r="E415" s="141"/>
      <c r="F415" s="141"/>
      <c r="G415" s="141"/>
      <c r="H415" s="141"/>
      <c r="I415" s="141"/>
      <c r="J415" s="141"/>
      <c r="K415" s="141"/>
      <c r="L415" s="141"/>
      <c r="M415" s="141"/>
      <c r="N415" s="141"/>
      <c r="O415" s="141"/>
      <c r="P415" s="141"/>
      <c r="Q415" s="141"/>
      <c r="R415" s="141"/>
      <c r="S415" s="141"/>
      <c r="T415" s="141"/>
      <c r="U415" s="141"/>
    </row>
    <row r="416" spans="1:21" x14ac:dyDescent="0.25">
      <c r="A416" s="141"/>
      <c r="B416" s="141"/>
      <c r="C416" s="141"/>
      <c r="D416" s="141"/>
      <c r="E416" s="141"/>
      <c r="F416" s="141"/>
      <c r="G416" s="141"/>
      <c r="H416" s="141"/>
      <c r="I416" s="141"/>
      <c r="J416" s="141"/>
      <c r="K416" s="141"/>
      <c r="L416" s="141"/>
      <c r="M416" s="141"/>
      <c r="N416" s="141"/>
      <c r="O416" s="141"/>
      <c r="P416" s="141"/>
      <c r="Q416" s="141"/>
      <c r="R416" s="141"/>
      <c r="S416" s="141"/>
      <c r="T416" s="141"/>
      <c r="U416" s="141"/>
    </row>
    <row r="417" spans="1:21" x14ac:dyDescent="0.25">
      <c r="A417" s="141"/>
      <c r="B417" s="141"/>
      <c r="C417" s="141"/>
      <c r="D417" s="141"/>
      <c r="E417" s="141"/>
      <c r="F417" s="141"/>
      <c r="G417" s="141"/>
      <c r="H417" s="141"/>
      <c r="I417" s="141"/>
      <c r="J417" s="141"/>
      <c r="K417" s="141"/>
      <c r="L417" s="141"/>
      <c r="M417" s="141"/>
      <c r="N417" s="141"/>
      <c r="O417" s="141"/>
      <c r="P417" s="141"/>
      <c r="Q417" s="141"/>
      <c r="R417" s="141"/>
      <c r="S417" s="141"/>
      <c r="T417" s="141"/>
      <c r="U417" s="141"/>
    </row>
    <row r="418" spans="1:21" x14ac:dyDescent="0.25">
      <c r="A418" s="141"/>
      <c r="B418" s="141"/>
      <c r="C418" s="141"/>
      <c r="D418" s="141"/>
      <c r="E418" s="141"/>
      <c r="F418" s="141"/>
      <c r="G418" s="141"/>
      <c r="H418" s="141"/>
      <c r="I418" s="141"/>
      <c r="J418" s="141"/>
      <c r="K418" s="141"/>
      <c r="L418" s="141"/>
      <c r="M418" s="141"/>
      <c r="N418" s="141"/>
      <c r="O418" s="141"/>
      <c r="P418" s="141"/>
      <c r="Q418" s="141"/>
      <c r="R418" s="141"/>
      <c r="S418" s="141"/>
      <c r="T418" s="141"/>
      <c r="U418" s="141"/>
    </row>
    <row r="419" spans="1:21" x14ac:dyDescent="0.25">
      <c r="A419" s="141"/>
      <c r="B419" s="141"/>
      <c r="C419" s="141"/>
      <c r="D419" s="141"/>
      <c r="E419" s="141"/>
      <c r="F419" s="141"/>
      <c r="G419" s="141"/>
      <c r="H419" s="141"/>
      <c r="I419" s="141"/>
      <c r="J419" s="141"/>
      <c r="K419" s="141"/>
      <c r="L419" s="141"/>
      <c r="M419" s="141"/>
      <c r="N419" s="141"/>
      <c r="O419" s="141"/>
      <c r="P419" s="141"/>
      <c r="Q419" s="141"/>
      <c r="R419" s="141"/>
      <c r="S419" s="141"/>
      <c r="T419" s="141"/>
      <c r="U419" s="141"/>
    </row>
    <row r="420" spans="1:21" x14ac:dyDescent="0.25">
      <c r="A420" s="141"/>
      <c r="B420" s="141"/>
      <c r="C420" s="141"/>
      <c r="D420" s="141"/>
      <c r="E420" s="141"/>
      <c r="F420" s="141"/>
      <c r="G420" s="141"/>
      <c r="H420" s="141"/>
      <c r="I420" s="141"/>
      <c r="J420" s="141"/>
      <c r="K420" s="141"/>
      <c r="L420" s="141"/>
      <c r="M420" s="141"/>
      <c r="N420" s="141"/>
      <c r="O420" s="141"/>
      <c r="P420" s="141"/>
      <c r="Q420" s="141"/>
      <c r="R420" s="141"/>
      <c r="S420" s="141"/>
      <c r="T420" s="141"/>
      <c r="U420" s="141"/>
    </row>
    <row r="421" spans="1:21" x14ac:dyDescent="0.25">
      <c r="A421" s="141"/>
      <c r="B421" s="141"/>
      <c r="C421" s="141"/>
      <c r="D421" s="141"/>
      <c r="E421" s="141"/>
      <c r="F421" s="141"/>
      <c r="G421" s="141"/>
      <c r="H421" s="141"/>
      <c r="I421" s="141"/>
      <c r="J421" s="141"/>
      <c r="K421" s="141"/>
      <c r="L421" s="141"/>
      <c r="M421" s="141"/>
      <c r="N421" s="141"/>
      <c r="O421" s="141"/>
      <c r="P421" s="141"/>
      <c r="Q421" s="141"/>
      <c r="R421" s="141"/>
      <c r="S421" s="141"/>
      <c r="T421" s="141"/>
      <c r="U421" s="141"/>
    </row>
    <row r="422" spans="1:21" x14ac:dyDescent="0.25">
      <c r="A422" s="141"/>
      <c r="B422" s="141"/>
      <c r="C422" s="141"/>
      <c r="D422" s="141"/>
      <c r="E422" s="141"/>
      <c r="F422" s="141"/>
      <c r="G422" s="141"/>
      <c r="H422" s="141"/>
      <c r="I422" s="141"/>
      <c r="J422" s="141"/>
      <c r="K422" s="141"/>
      <c r="L422" s="141"/>
      <c r="M422" s="141"/>
      <c r="N422" s="141"/>
      <c r="O422" s="141"/>
      <c r="P422" s="141"/>
      <c r="Q422" s="141"/>
      <c r="R422" s="141"/>
      <c r="S422" s="141"/>
      <c r="T422" s="141"/>
      <c r="U422" s="141"/>
    </row>
    <row r="423" spans="1:21" x14ac:dyDescent="0.25">
      <c r="A423" s="141"/>
      <c r="B423" s="141"/>
      <c r="C423" s="141"/>
      <c r="D423" s="141"/>
      <c r="E423" s="141"/>
      <c r="F423" s="141"/>
      <c r="G423" s="141"/>
      <c r="H423" s="141"/>
      <c r="I423" s="141"/>
      <c r="J423" s="141"/>
      <c r="K423" s="141"/>
      <c r="L423" s="141"/>
      <c r="M423" s="141"/>
      <c r="N423" s="141"/>
      <c r="O423" s="141"/>
      <c r="P423" s="141"/>
      <c r="Q423" s="141"/>
      <c r="R423" s="141"/>
      <c r="S423" s="141"/>
      <c r="T423" s="141"/>
      <c r="U423" s="141"/>
    </row>
    <row r="424" spans="1:21" x14ac:dyDescent="0.25">
      <c r="A424" s="141"/>
      <c r="B424" s="141"/>
      <c r="C424" s="141"/>
      <c r="D424" s="141"/>
      <c r="E424" s="141"/>
      <c r="F424" s="141"/>
      <c r="G424" s="141"/>
      <c r="H424" s="141"/>
      <c r="I424" s="141"/>
      <c r="J424" s="141"/>
      <c r="K424" s="141"/>
      <c r="L424" s="141"/>
      <c r="M424" s="141"/>
      <c r="N424" s="141"/>
      <c r="O424" s="141"/>
      <c r="P424" s="141"/>
      <c r="Q424" s="141"/>
      <c r="R424" s="141"/>
      <c r="S424" s="141"/>
      <c r="T424" s="141"/>
      <c r="U424" s="141"/>
    </row>
    <row r="425" spans="1:21" x14ac:dyDescent="0.25">
      <c r="A425" s="141"/>
      <c r="B425" s="141"/>
      <c r="C425" s="141"/>
      <c r="D425" s="141"/>
      <c r="E425" s="141"/>
      <c r="F425" s="141"/>
      <c r="G425" s="141"/>
      <c r="H425" s="141"/>
      <c r="I425" s="141"/>
      <c r="J425" s="141"/>
      <c r="K425" s="141"/>
      <c r="L425" s="141"/>
      <c r="M425" s="141"/>
      <c r="N425" s="141"/>
      <c r="O425" s="141"/>
      <c r="P425" s="141"/>
      <c r="Q425" s="141"/>
      <c r="R425" s="141"/>
      <c r="S425" s="141"/>
      <c r="T425" s="141"/>
      <c r="U425" s="141"/>
    </row>
    <row r="426" spans="1:21" x14ac:dyDescent="0.25">
      <c r="A426" s="141"/>
      <c r="B426" s="141"/>
      <c r="C426" s="141"/>
      <c r="D426" s="141"/>
      <c r="E426" s="141"/>
      <c r="F426" s="141"/>
      <c r="G426" s="141"/>
      <c r="H426" s="141"/>
      <c r="I426" s="141"/>
      <c r="J426" s="141"/>
      <c r="K426" s="141"/>
      <c r="L426" s="141"/>
      <c r="M426" s="141"/>
      <c r="N426" s="141"/>
      <c r="O426" s="141"/>
      <c r="P426" s="141"/>
      <c r="Q426" s="141"/>
      <c r="R426" s="141"/>
      <c r="S426" s="141"/>
      <c r="T426" s="141"/>
      <c r="U426" s="141"/>
    </row>
    <row r="427" spans="1:21" x14ac:dyDescent="0.25">
      <c r="A427" s="141"/>
      <c r="B427" s="141"/>
      <c r="C427" s="141"/>
      <c r="D427" s="141"/>
      <c r="E427" s="141"/>
      <c r="F427" s="141"/>
      <c r="G427" s="141"/>
      <c r="H427" s="141"/>
      <c r="I427" s="141"/>
      <c r="J427" s="141"/>
      <c r="K427" s="141"/>
      <c r="L427" s="141"/>
      <c r="M427" s="141"/>
      <c r="N427" s="141"/>
      <c r="O427" s="141"/>
      <c r="P427" s="141"/>
      <c r="Q427" s="141"/>
      <c r="R427" s="141"/>
      <c r="S427" s="141"/>
      <c r="T427" s="141"/>
      <c r="U427" s="141"/>
    </row>
    <row r="428" spans="1:21" x14ac:dyDescent="0.25">
      <c r="A428" s="141"/>
      <c r="B428" s="141"/>
      <c r="C428" s="141"/>
      <c r="D428" s="141"/>
      <c r="E428" s="141"/>
      <c r="F428" s="141"/>
      <c r="G428" s="141"/>
      <c r="H428" s="141"/>
      <c r="I428" s="141"/>
      <c r="J428" s="141"/>
      <c r="K428" s="141"/>
      <c r="L428" s="141"/>
      <c r="M428" s="141"/>
      <c r="N428" s="141"/>
      <c r="O428" s="141"/>
      <c r="P428" s="141"/>
      <c r="Q428" s="141"/>
      <c r="R428" s="141"/>
      <c r="S428" s="141"/>
      <c r="T428" s="141"/>
      <c r="U428" s="141"/>
    </row>
    <row r="429" spans="1:21" x14ac:dyDescent="0.25">
      <c r="A429" s="141"/>
      <c r="B429" s="141"/>
      <c r="C429" s="141"/>
      <c r="D429" s="141"/>
      <c r="E429" s="141"/>
      <c r="F429" s="141"/>
      <c r="G429" s="141"/>
      <c r="H429" s="141"/>
      <c r="I429" s="141"/>
      <c r="J429" s="141"/>
      <c r="K429" s="141"/>
      <c r="L429" s="141"/>
      <c r="M429" s="141"/>
      <c r="N429" s="141"/>
      <c r="O429" s="141"/>
      <c r="P429" s="141"/>
      <c r="Q429" s="141"/>
      <c r="R429" s="141"/>
      <c r="S429" s="141"/>
      <c r="T429" s="141"/>
      <c r="U429" s="141"/>
    </row>
    <row r="430" spans="1:21" x14ac:dyDescent="0.25">
      <c r="A430" s="141"/>
      <c r="B430" s="141"/>
      <c r="C430" s="141"/>
      <c r="D430" s="141"/>
      <c r="E430" s="141"/>
      <c r="F430" s="141"/>
      <c r="G430" s="141"/>
      <c r="H430" s="141"/>
      <c r="I430" s="141"/>
      <c r="J430" s="141"/>
      <c r="K430" s="141"/>
      <c r="L430" s="141"/>
      <c r="M430" s="141"/>
      <c r="N430" s="141"/>
      <c r="O430" s="141"/>
      <c r="P430" s="141"/>
      <c r="Q430" s="141"/>
      <c r="R430" s="141"/>
      <c r="S430" s="141"/>
      <c r="T430" s="141"/>
      <c r="U430" s="141"/>
    </row>
    <row r="431" spans="1:21" x14ac:dyDescent="0.25">
      <c r="A431" s="141"/>
      <c r="B431" s="141"/>
      <c r="C431" s="141"/>
      <c r="D431" s="141"/>
      <c r="E431" s="141"/>
      <c r="F431" s="141"/>
      <c r="G431" s="141"/>
      <c r="H431" s="141"/>
      <c r="I431" s="141"/>
      <c r="J431" s="141"/>
      <c r="K431" s="141"/>
      <c r="L431" s="141"/>
      <c r="M431" s="141"/>
      <c r="N431" s="141"/>
      <c r="O431" s="141"/>
      <c r="P431" s="141"/>
      <c r="Q431" s="141"/>
      <c r="R431" s="141"/>
      <c r="S431" s="141"/>
      <c r="T431" s="141"/>
      <c r="U431" s="141"/>
    </row>
    <row r="432" spans="1:21" x14ac:dyDescent="0.25">
      <c r="A432" s="141"/>
      <c r="B432" s="141"/>
      <c r="C432" s="141"/>
      <c r="D432" s="141"/>
      <c r="E432" s="141"/>
      <c r="F432" s="141"/>
      <c r="G432" s="141"/>
      <c r="H432" s="141"/>
      <c r="I432" s="141"/>
      <c r="J432" s="141"/>
      <c r="K432" s="141"/>
      <c r="L432" s="141"/>
      <c r="M432" s="141"/>
      <c r="N432" s="141"/>
      <c r="O432" s="141"/>
      <c r="P432" s="141"/>
      <c r="Q432" s="141"/>
      <c r="R432" s="141"/>
      <c r="S432" s="141"/>
      <c r="T432" s="141"/>
      <c r="U432" s="141"/>
    </row>
    <row r="433" spans="1:21" x14ac:dyDescent="0.25">
      <c r="A433" s="141"/>
      <c r="B433" s="141"/>
      <c r="C433" s="141"/>
      <c r="D433" s="141"/>
      <c r="E433" s="141"/>
      <c r="F433" s="141"/>
      <c r="G433" s="141"/>
      <c r="H433" s="141"/>
      <c r="I433" s="141"/>
      <c r="J433" s="141"/>
      <c r="K433" s="141"/>
      <c r="L433" s="141"/>
      <c r="M433" s="141"/>
      <c r="N433" s="141"/>
      <c r="O433" s="141"/>
      <c r="P433" s="141"/>
      <c r="Q433" s="141"/>
      <c r="R433" s="141"/>
      <c r="S433" s="141"/>
      <c r="T433" s="141"/>
      <c r="U433" s="141"/>
    </row>
    <row r="434" spans="1:21" x14ac:dyDescent="0.25">
      <c r="A434" s="141"/>
      <c r="B434" s="141"/>
      <c r="C434" s="141"/>
      <c r="D434" s="141"/>
      <c r="E434" s="141"/>
      <c r="F434" s="141"/>
      <c r="G434" s="141"/>
      <c r="H434" s="141"/>
      <c r="I434" s="141"/>
      <c r="J434" s="141"/>
      <c r="K434" s="141"/>
      <c r="L434" s="141"/>
      <c r="M434" s="141"/>
      <c r="N434" s="141"/>
      <c r="O434" s="141"/>
      <c r="P434" s="141"/>
      <c r="Q434" s="141"/>
      <c r="R434" s="141"/>
      <c r="S434" s="141"/>
      <c r="T434" s="141"/>
      <c r="U434" s="141"/>
    </row>
    <row r="435" spans="1:21" x14ac:dyDescent="0.25">
      <c r="A435" s="141"/>
      <c r="B435" s="141"/>
      <c r="C435" s="141"/>
      <c r="D435" s="141"/>
      <c r="E435" s="141"/>
      <c r="F435" s="141"/>
      <c r="G435" s="141"/>
      <c r="H435" s="141"/>
      <c r="I435" s="141"/>
      <c r="J435" s="141"/>
      <c r="K435" s="141"/>
      <c r="L435" s="141"/>
      <c r="M435" s="141"/>
      <c r="N435" s="141"/>
      <c r="O435" s="141"/>
      <c r="P435" s="141"/>
      <c r="Q435" s="141"/>
      <c r="R435" s="141"/>
      <c r="S435" s="141"/>
      <c r="T435" s="141"/>
      <c r="U435" s="141"/>
    </row>
    <row r="436" spans="1:21" x14ac:dyDescent="0.25">
      <c r="A436" s="141"/>
      <c r="B436" s="141"/>
      <c r="C436" s="141"/>
      <c r="D436" s="141"/>
      <c r="E436" s="141"/>
      <c r="F436" s="141"/>
      <c r="G436" s="141"/>
      <c r="H436" s="141"/>
      <c r="I436" s="141"/>
      <c r="J436" s="141"/>
      <c r="K436" s="141"/>
      <c r="L436" s="141"/>
      <c r="M436" s="141"/>
      <c r="N436" s="141"/>
      <c r="O436" s="141"/>
      <c r="P436" s="141"/>
      <c r="Q436" s="141"/>
      <c r="R436" s="141"/>
      <c r="S436" s="141"/>
      <c r="T436" s="141"/>
      <c r="U436" s="141"/>
    </row>
    <row r="437" spans="1:21" x14ac:dyDescent="0.25">
      <c r="A437" s="141"/>
      <c r="B437" s="141"/>
      <c r="C437" s="141"/>
      <c r="D437" s="141"/>
      <c r="E437" s="141"/>
      <c r="F437" s="141"/>
      <c r="G437" s="141"/>
      <c r="H437" s="141"/>
      <c r="I437" s="141"/>
      <c r="J437" s="141"/>
      <c r="K437" s="141"/>
      <c r="L437" s="141"/>
      <c r="M437" s="141"/>
      <c r="N437" s="141"/>
      <c r="O437" s="141"/>
      <c r="P437" s="141"/>
      <c r="Q437" s="141"/>
      <c r="R437" s="141"/>
      <c r="S437" s="141"/>
      <c r="T437" s="141"/>
      <c r="U437" s="141"/>
    </row>
    <row r="438" spans="1:21" x14ac:dyDescent="0.25">
      <c r="A438" s="141"/>
      <c r="B438" s="141"/>
      <c r="C438" s="141"/>
      <c r="D438" s="141"/>
      <c r="E438" s="141"/>
      <c r="F438" s="141"/>
      <c r="G438" s="141"/>
      <c r="H438" s="141"/>
      <c r="I438" s="141"/>
      <c r="J438" s="141"/>
      <c r="K438" s="141"/>
      <c r="L438" s="141"/>
      <c r="M438" s="141"/>
      <c r="N438" s="141"/>
      <c r="O438" s="141"/>
      <c r="P438" s="141"/>
      <c r="Q438" s="141"/>
      <c r="R438" s="141"/>
      <c r="S438" s="141"/>
      <c r="T438" s="141"/>
      <c r="U438" s="141"/>
    </row>
    <row r="439" spans="1:21" x14ac:dyDescent="0.25">
      <c r="A439" s="141"/>
      <c r="B439" s="141"/>
      <c r="C439" s="141"/>
      <c r="D439" s="141"/>
      <c r="E439" s="141"/>
      <c r="F439" s="141"/>
      <c r="G439" s="141"/>
      <c r="H439" s="141"/>
      <c r="I439" s="141"/>
      <c r="J439" s="141"/>
      <c r="K439" s="141"/>
      <c r="L439" s="141"/>
      <c r="M439" s="141"/>
      <c r="N439" s="141"/>
      <c r="O439" s="141"/>
      <c r="P439" s="141"/>
      <c r="Q439" s="141"/>
      <c r="R439" s="141"/>
      <c r="S439" s="141"/>
      <c r="T439" s="141"/>
      <c r="U439" s="141"/>
    </row>
    <row r="440" spans="1:21" x14ac:dyDescent="0.25">
      <c r="A440" s="141"/>
      <c r="B440" s="141"/>
      <c r="C440" s="141"/>
      <c r="D440" s="141"/>
      <c r="E440" s="141"/>
      <c r="F440" s="141"/>
      <c r="G440" s="141"/>
      <c r="H440" s="141"/>
      <c r="I440" s="141"/>
      <c r="J440" s="141"/>
      <c r="K440" s="141"/>
      <c r="L440" s="141"/>
      <c r="M440" s="141"/>
      <c r="N440" s="141"/>
      <c r="O440" s="141"/>
      <c r="P440" s="141"/>
      <c r="Q440" s="141"/>
      <c r="R440" s="141"/>
      <c r="S440" s="141"/>
      <c r="T440" s="141"/>
      <c r="U440" s="141"/>
    </row>
    <row r="441" spans="1:21" x14ac:dyDescent="0.25">
      <c r="A441" s="141"/>
      <c r="B441" s="141"/>
      <c r="C441" s="141"/>
      <c r="D441" s="141"/>
      <c r="E441" s="141"/>
      <c r="F441" s="141"/>
      <c r="G441" s="141"/>
      <c r="H441" s="141"/>
      <c r="I441" s="141"/>
      <c r="J441" s="141"/>
      <c r="K441" s="141"/>
      <c r="L441" s="141"/>
      <c r="M441" s="141"/>
      <c r="N441" s="141"/>
      <c r="O441" s="141"/>
      <c r="P441" s="141"/>
      <c r="Q441" s="141"/>
      <c r="R441" s="141"/>
      <c r="S441" s="141"/>
      <c r="T441" s="141"/>
      <c r="U441" s="141"/>
    </row>
    <row r="442" spans="1:21" x14ac:dyDescent="0.25">
      <c r="A442" s="141"/>
      <c r="B442" s="141"/>
      <c r="C442" s="141"/>
      <c r="D442" s="141"/>
      <c r="E442" s="141"/>
      <c r="F442" s="141"/>
      <c r="G442" s="141"/>
      <c r="H442" s="141"/>
      <c r="I442" s="141"/>
      <c r="J442" s="141"/>
      <c r="K442" s="141"/>
      <c r="L442" s="141"/>
      <c r="M442" s="141"/>
      <c r="N442" s="141"/>
      <c r="O442" s="141"/>
      <c r="P442" s="141"/>
      <c r="Q442" s="141"/>
      <c r="R442" s="141"/>
      <c r="S442" s="141"/>
      <c r="T442" s="141"/>
      <c r="U442" s="141"/>
    </row>
    <row r="443" spans="1:21" x14ac:dyDescent="0.25">
      <c r="A443" s="141"/>
      <c r="B443" s="141"/>
      <c r="C443" s="141"/>
      <c r="D443" s="141"/>
      <c r="E443" s="141"/>
      <c r="F443" s="141"/>
      <c r="G443" s="141"/>
      <c r="H443" s="141"/>
      <c r="I443" s="141"/>
      <c r="J443" s="141"/>
      <c r="K443" s="141"/>
      <c r="L443" s="141"/>
      <c r="M443" s="141"/>
      <c r="N443" s="141"/>
      <c r="O443" s="141"/>
      <c r="P443" s="141"/>
      <c r="Q443" s="141"/>
      <c r="R443" s="141"/>
      <c r="S443" s="141"/>
      <c r="T443" s="141"/>
      <c r="U443" s="141"/>
    </row>
    <row r="444" spans="1:21" x14ac:dyDescent="0.25">
      <c r="A444" s="141"/>
      <c r="B444" s="141"/>
      <c r="C444" s="141"/>
      <c r="D444" s="141"/>
      <c r="E444" s="141"/>
      <c r="F444" s="141"/>
      <c r="G444" s="141"/>
      <c r="H444" s="141"/>
      <c r="I444" s="141"/>
      <c r="J444" s="141"/>
      <c r="K444" s="141"/>
      <c r="L444" s="141"/>
      <c r="M444" s="141"/>
      <c r="N444" s="141"/>
      <c r="O444" s="141"/>
      <c r="P444" s="141"/>
      <c r="Q444" s="141"/>
      <c r="R444" s="141"/>
      <c r="S444" s="141"/>
      <c r="T444" s="141"/>
      <c r="U444" s="141"/>
    </row>
    <row r="445" spans="1:21" x14ac:dyDescent="0.25">
      <c r="A445" s="141"/>
      <c r="B445" s="141"/>
      <c r="C445" s="141"/>
      <c r="D445" s="141"/>
      <c r="E445" s="141"/>
      <c r="F445" s="141"/>
      <c r="G445" s="141"/>
      <c r="H445" s="141"/>
      <c r="I445" s="141"/>
      <c r="J445" s="141"/>
      <c r="K445" s="141"/>
      <c r="L445" s="141"/>
      <c r="M445" s="141"/>
      <c r="N445" s="141"/>
      <c r="O445" s="141"/>
      <c r="P445" s="141"/>
      <c r="Q445" s="141"/>
      <c r="R445" s="141"/>
      <c r="S445" s="141"/>
      <c r="T445" s="141"/>
      <c r="U445" s="141"/>
    </row>
    <row r="446" spans="1:21" x14ac:dyDescent="0.25">
      <c r="A446" s="141"/>
      <c r="B446" s="141"/>
      <c r="C446" s="141"/>
      <c r="D446" s="141"/>
      <c r="E446" s="141"/>
      <c r="F446" s="141"/>
      <c r="G446" s="141"/>
      <c r="H446" s="141"/>
      <c r="I446" s="141"/>
      <c r="J446" s="141"/>
      <c r="K446" s="141"/>
      <c r="L446" s="141"/>
      <c r="M446" s="141"/>
      <c r="N446" s="141"/>
      <c r="O446" s="141"/>
      <c r="P446" s="141"/>
      <c r="Q446" s="141"/>
      <c r="R446" s="141"/>
      <c r="S446" s="141"/>
      <c r="T446" s="141"/>
      <c r="U446" s="141"/>
    </row>
    <row r="447" spans="1:21" x14ac:dyDescent="0.25">
      <c r="A447" s="141"/>
      <c r="B447" s="141"/>
      <c r="C447" s="141"/>
      <c r="D447" s="141"/>
      <c r="E447" s="141"/>
      <c r="F447" s="141"/>
      <c r="G447" s="141"/>
      <c r="H447" s="141"/>
      <c r="I447" s="141"/>
      <c r="J447" s="141"/>
      <c r="K447" s="141"/>
      <c r="L447" s="141"/>
      <c r="M447" s="141"/>
      <c r="N447" s="141"/>
      <c r="O447" s="141"/>
      <c r="P447" s="141"/>
      <c r="Q447" s="141"/>
      <c r="R447" s="141"/>
      <c r="S447" s="141"/>
      <c r="T447" s="141"/>
      <c r="U447" s="141"/>
    </row>
    <row r="448" spans="1:21" x14ac:dyDescent="0.25">
      <c r="A448" s="141"/>
      <c r="B448" s="141"/>
      <c r="C448" s="141"/>
      <c r="D448" s="141"/>
      <c r="E448" s="141"/>
      <c r="F448" s="141"/>
      <c r="G448" s="141"/>
      <c r="H448" s="141"/>
      <c r="I448" s="141"/>
      <c r="J448" s="141"/>
      <c r="K448" s="141"/>
      <c r="L448" s="141"/>
      <c r="M448" s="141"/>
      <c r="N448" s="141"/>
      <c r="O448" s="141"/>
      <c r="P448" s="141"/>
      <c r="Q448" s="141"/>
      <c r="R448" s="141"/>
      <c r="S448" s="141"/>
      <c r="T448" s="141"/>
      <c r="U448" s="141"/>
    </row>
    <row r="449" spans="1:21" x14ac:dyDescent="0.25">
      <c r="A449" s="141"/>
      <c r="B449" s="141"/>
      <c r="C449" s="141"/>
      <c r="D449" s="141"/>
      <c r="E449" s="141"/>
      <c r="F449" s="141"/>
      <c r="G449" s="141"/>
      <c r="H449" s="141"/>
      <c r="I449" s="141"/>
      <c r="J449" s="141"/>
      <c r="K449" s="141"/>
      <c r="L449" s="141"/>
      <c r="M449" s="141"/>
      <c r="N449" s="141"/>
      <c r="O449" s="141"/>
      <c r="P449" s="141"/>
      <c r="Q449" s="141"/>
      <c r="R449" s="141"/>
      <c r="S449" s="141"/>
      <c r="T449" s="141"/>
      <c r="U449" s="141"/>
    </row>
    <row r="450" spans="1:21" x14ac:dyDescent="0.25">
      <c r="A450" s="141"/>
      <c r="B450" s="141"/>
      <c r="C450" s="141"/>
      <c r="D450" s="141"/>
      <c r="E450" s="141"/>
      <c r="F450" s="141"/>
      <c r="G450" s="141"/>
      <c r="H450" s="141"/>
      <c r="I450" s="141"/>
      <c r="J450" s="141"/>
      <c r="K450" s="141"/>
      <c r="L450" s="141"/>
      <c r="M450" s="141"/>
      <c r="N450" s="141"/>
      <c r="O450" s="141"/>
      <c r="P450" s="141"/>
      <c r="Q450" s="141"/>
      <c r="R450" s="141"/>
      <c r="S450" s="141"/>
      <c r="T450" s="141"/>
      <c r="U450" s="141"/>
    </row>
    <row r="451" spans="1:21" x14ac:dyDescent="0.25">
      <c r="A451" s="141"/>
      <c r="B451" s="141"/>
      <c r="C451" s="141"/>
      <c r="D451" s="141"/>
      <c r="E451" s="141"/>
      <c r="F451" s="141"/>
      <c r="G451" s="141"/>
      <c r="H451" s="141"/>
      <c r="I451" s="141"/>
      <c r="J451" s="141"/>
      <c r="K451" s="141"/>
      <c r="L451" s="141"/>
      <c r="M451" s="141"/>
      <c r="N451" s="141"/>
      <c r="O451" s="141"/>
      <c r="P451" s="141"/>
      <c r="Q451" s="141"/>
      <c r="R451" s="141"/>
      <c r="S451" s="141"/>
      <c r="T451" s="141"/>
      <c r="U451" s="141"/>
    </row>
    <row r="452" spans="1:21" x14ac:dyDescent="0.25">
      <c r="A452" s="141"/>
      <c r="B452" s="141"/>
      <c r="C452" s="141"/>
      <c r="D452" s="141"/>
      <c r="E452" s="141"/>
      <c r="F452" s="141"/>
      <c r="G452" s="141"/>
      <c r="H452" s="141"/>
      <c r="I452" s="141"/>
      <c r="J452" s="141"/>
      <c r="K452" s="141"/>
      <c r="L452" s="141"/>
      <c r="M452" s="141"/>
      <c r="N452" s="141"/>
      <c r="O452" s="141"/>
      <c r="P452" s="141"/>
      <c r="Q452" s="141"/>
      <c r="R452" s="141"/>
      <c r="S452" s="141"/>
      <c r="T452" s="141"/>
      <c r="U452" s="141"/>
    </row>
    <row r="453" spans="1:21" x14ac:dyDescent="0.25">
      <c r="A453" s="141"/>
      <c r="B453" s="141"/>
      <c r="C453" s="141"/>
      <c r="D453" s="141"/>
      <c r="E453" s="141"/>
      <c r="F453" s="141"/>
      <c r="G453" s="141"/>
      <c r="H453" s="141"/>
      <c r="I453" s="141"/>
      <c r="J453" s="141"/>
      <c r="K453" s="141"/>
      <c r="L453" s="141"/>
      <c r="M453" s="141"/>
      <c r="N453" s="141"/>
      <c r="O453" s="141"/>
      <c r="P453" s="141"/>
      <c r="Q453" s="141"/>
      <c r="R453" s="141"/>
      <c r="S453" s="141"/>
      <c r="T453" s="141"/>
      <c r="U453" s="141"/>
    </row>
    <row r="454" spans="1:21" x14ac:dyDescent="0.25">
      <c r="A454" s="141"/>
      <c r="B454" s="141"/>
      <c r="C454" s="141"/>
      <c r="D454" s="141"/>
      <c r="E454" s="141"/>
      <c r="F454" s="141"/>
      <c r="G454" s="141"/>
      <c r="H454" s="141"/>
      <c r="I454" s="141"/>
      <c r="J454" s="141"/>
      <c r="K454" s="141"/>
      <c r="L454" s="141"/>
      <c r="M454" s="141"/>
      <c r="N454" s="141"/>
      <c r="O454" s="141"/>
      <c r="P454" s="141"/>
      <c r="Q454" s="141"/>
      <c r="R454" s="141"/>
      <c r="S454" s="141"/>
      <c r="T454" s="141"/>
      <c r="U454" s="141"/>
    </row>
    <row r="455" spans="1:21" x14ac:dyDescent="0.25">
      <c r="A455" s="141"/>
      <c r="B455" s="141"/>
      <c r="C455" s="141"/>
      <c r="D455" s="141"/>
      <c r="E455" s="141"/>
      <c r="F455" s="141"/>
      <c r="G455" s="141"/>
      <c r="H455" s="141"/>
      <c r="I455" s="141"/>
      <c r="J455" s="141"/>
      <c r="K455" s="141"/>
      <c r="L455" s="141"/>
      <c r="M455" s="141"/>
      <c r="N455" s="141"/>
      <c r="O455" s="141"/>
      <c r="P455" s="141"/>
      <c r="Q455" s="141"/>
      <c r="R455" s="141"/>
      <c r="S455" s="141"/>
      <c r="T455" s="141"/>
      <c r="U455" s="141"/>
    </row>
    <row r="456" spans="1:21" x14ac:dyDescent="0.25">
      <c r="A456" s="141"/>
      <c r="B456" s="141"/>
      <c r="C456" s="141"/>
      <c r="D456" s="141"/>
      <c r="E456" s="141"/>
      <c r="F456" s="141"/>
      <c r="G456" s="141"/>
      <c r="H456" s="141"/>
      <c r="I456" s="141"/>
      <c r="J456" s="141"/>
      <c r="K456" s="141"/>
      <c r="L456" s="141"/>
      <c r="M456" s="141"/>
      <c r="N456" s="141"/>
      <c r="O456" s="141"/>
      <c r="P456" s="141"/>
      <c r="Q456" s="141"/>
      <c r="R456" s="141"/>
      <c r="S456" s="141"/>
      <c r="T456" s="141"/>
      <c r="U456" s="141"/>
    </row>
    <row r="457" spans="1:21" x14ac:dyDescent="0.25">
      <c r="A457" s="141"/>
      <c r="B457" s="141"/>
      <c r="C457" s="141"/>
      <c r="D457" s="141"/>
      <c r="E457" s="141"/>
      <c r="F457" s="141"/>
      <c r="G457" s="141"/>
      <c r="H457" s="141"/>
      <c r="I457" s="141"/>
      <c r="J457" s="141"/>
      <c r="K457" s="141"/>
      <c r="L457" s="141"/>
      <c r="M457" s="141"/>
      <c r="N457" s="141"/>
      <c r="O457" s="141"/>
      <c r="P457" s="141"/>
      <c r="Q457" s="141"/>
      <c r="R457" s="141"/>
      <c r="S457" s="141"/>
      <c r="T457" s="141"/>
      <c r="U457" s="141"/>
    </row>
    <row r="458" spans="1:21" x14ac:dyDescent="0.25">
      <c r="A458" s="141"/>
      <c r="B458" s="141"/>
      <c r="C458" s="141"/>
      <c r="D458" s="141"/>
      <c r="E458" s="141"/>
      <c r="F458" s="141"/>
      <c r="G458" s="141"/>
      <c r="H458" s="141"/>
      <c r="I458" s="141"/>
      <c r="J458" s="141"/>
      <c r="K458" s="141"/>
      <c r="L458" s="141"/>
      <c r="M458" s="141"/>
      <c r="N458" s="141"/>
      <c r="O458" s="141"/>
      <c r="P458" s="141"/>
      <c r="Q458" s="141"/>
      <c r="R458" s="141"/>
      <c r="S458" s="141"/>
      <c r="T458" s="141"/>
      <c r="U458" s="141"/>
    </row>
    <row r="459" spans="1:21" x14ac:dyDescent="0.25">
      <c r="A459" s="141"/>
      <c r="B459" s="141"/>
      <c r="C459" s="141"/>
      <c r="D459" s="141"/>
      <c r="E459" s="141"/>
      <c r="F459" s="141"/>
      <c r="G459" s="141"/>
      <c r="H459" s="141"/>
      <c r="I459" s="141"/>
      <c r="J459" s="141"/>
      <c r="K459" s="141"/>
      <c r="L459" s="141"/>
      <c r="M459" s="141"/>
      <c r="N459" s="141"/>
      <c r="O459" s="141"/>
      <c r="P459" s="141"/>
      <c r="Q459" s="141"/>
      <c r="R459" s="141"/>
      <c r="S459" s="141"/>
      <c r="T459" s="141"/>
      <c r="U459" s="141"/>
    </row>
    <row r="460" spans="1:21" x14ac:dyDescent="0.25">
      <c r="A460" s="141"/>
      <c r="B460" s="141"/>
      <c r="C460" s="141"/>
      <c r="D460" s="141"/>
      <c r="E460" s="141"/>
      <c r="F460" s="141"/>
      <c r="G460" s="141"/>
      <c r="H460" s="141"/>
      <c r="I460" s="141"/>
      <c r="J460" s="141"/>
      <c r="K460" s="141"/>
      <c r="L460" s="141"/>
      <c r="M460" s="141"/>
      <c r="N460" s="141"/>
      <c r="O460" s="141"/>
      <c r="P460" s="141"/>
      <c r="Q460" s="141"/>
      <c r="R460" s="141"/>
      <c r="S460" s="141"/>
      <c r="T460" s="141"/>
      <c r="U460" s="141"/>
    </row>
    <row r="461" spans="1:21" x14ac:dyDescent="0.25">
      <c r="A461" s="141"/>
      <c r="B461" s="141"/>
      <c r="C461" s="141"/>
      <c r="D461" s="141"/>
      <c r="E461" s="141"/>
      <c r="F461" s="141"/>
      <c r="G461" s="141"/>
      <c r="H461" s="141"/>
      <c r="I461" s="141"/>
      <c r="J461" s="141"/>
      <c r="K461" s="141"/>
      <c r="L461" s="141"/>
      <c r="M461" s="141"/>
      <c r="N461" s="141"/>
      <c r="O461" s="141"/>
      <c r="P461" s="141"/>
      <c r="Q461" s="141"/>
      <c r="R461" s="141"/>
      <c r="S461" s="141"/>
      <c r="T461" s="141"/>
      <c r="U461" s="141"/>
    </row>
    <row r="462" spans="1:21" x14ac:dyDescent="0.25">
      <c r="A462" s="141"/>
      <c r="B462" s="141"/>
      <c r="C462" s="141"/>
      <c r="D462" s="141"/>
      <c r="E462" s="141"/>
      <c r="F462" s="141"/>
      <c r="G462" s="141"/>
      <c r="H462" s="141"/>
      <c r="I462" s="141"/>
      <c r="J462" s="141"/>
      <c r="K462" s="141"/>
      <c r="L462" s="141"/>
      <c r="M462" s="141"/>
      <c r="N462" s="141"/>
      <c r="O462" s="141"/>
      <c r="P462" s="141"/>
      <c r="Q462" s="141"/>
      <c r="R462" s="141"/>
      <c r="S462" s="141"/>
      <c r="T462" s="141"/>
      <c r="U462" s="141"/>
    </row>
    <row r="463" spans="1:21" x14ac:dyDescent="0.25">
      <c r="A463" s="141"/>
      <c r="B463" s="141"/>
      <c r="C463" s="141"/>
      <c r="D463" s="141"/>
      <c r="E463" s="141"/>
      <c r="F463" s="141"/>
      <c r="G463" s="141"/>
      <c r="H463" s="141"/>
      <c r="I463" s="141"/>
      <c r="J463" s="141"/>
      <c r="K463" s="141"/>
      <c r="L463" s="141"/>
      <c r="M463" s="141"/>
      <c r="N463" s="141"/>
      <c r="O463" s="141"/>
      <c r="P463" s="141"/>
      <c r="Q463" s="141"/>
      <c r="R463" s="141"/>
      <c r="S463" s="141"/>
      <c r="T463" s="141"/>
      <c r="U463" s="141"/>
    </row>
    <row r="464" spans="1:21" x14ac:dyDescent="0.25">
      <c r="A464" s="141"/>
      <c r="B464" s="141"/>
      <c r="C464" s="141"/>
      <c r="D464" s="141"/>
      <c r="E464" s="141"/>
      <c r="F464" s="141"/>
      <c r="G464" s="141"/>
      <c r="H464" s="141"/>
      <c r="I464" s="141"/>
      <c r="J464" s="141"/>
      <c r="K464" s="141"/>
      <c r="L464" s="141"/>
      <c r="M464" s="141"/>
      <c r="N464" s="141"/>
      <c r="O464" s="141"/>
      <c r="P464" s="141"/>
      <c r="Q464" s="141"/>
      <c r="R464" s="141"/>
      <c r="S464" s="141"/>
      <c r="T464" s="141"/>
      <c r="U464" s="141"/>
    </row>
    <row r="465" spans="1:21" x14ac:dyDescent="0.25">
      <c r="A465" s="141"/>
      <c r="B465" s="141"/>
      <c r="C465" s="141"/>
      <c r="D465" s="141"/>
      <c r="E465" s="141"/>
      <c r="F465" s="141"/>
      <c r="G465" s="141"/>
      <c r="H465" s="141"/>
      <c r="I465" s="141"/>
      <c r="J465" s="141"/>
      <c r="K465" s="141"/>
      <c r="L465" s="141"/>
      <c r="M465" s="141"/>
      <c r="N465" s="141"/>
      <c r="O465" s="141"/>
      <c r="P465" s="141"/>
      <c r="Q465" s="141"/>
      <c r="R465" s="141"/>
      <c r="S465" s="141"/>
      <c r="T465" s="141"/>
      <c r="U465" s="141"/>
    </row>
    <row r="466" spans="1:21" x14ac:dyDescent="0.25">
      <c r="A466" s="141"/>
      <c r="B466" s="141"/>
      <c r="C466" s="141"/>
      <c r="D466" s="141"/>
      <c r="E466" s="141"/>
      <c r="F466" s="141"/>
      <c r="G466" s="141"/>
      <c r="H466" s="141"/>
      <c r="I466" s="141"/>
      <c r="J466" s="141"/>
      <c r="K466" s="141"/>
      <c r="L466" s="141"/>
      <c r="M466" s="141"/>
      <c r="N466" s="141"/>
      <c r="O466" s="141"/>
      <c r="P466" s="141"/>
      <c r="Q466" s="141"/>
      <c r="R466" s="141"/>
      <c r="S466" s="141"/>
      <c r="T466" s="141"/>
      <c r="U466" s="141"/>
    </row>
    <row r="467" spans="1:21" x14ac:dyDescent="0.25">
      <c r="A467" s="141"/>
      <c r="B467" s="141"/>
      <c r="C467" s="141"/>
      <c r="D467" s="141"/>
      <c r="E467" s="141"/>
      <c r="F467" s="141"/>
      <c r="G467" s="141"/>
      <c r="H467" s="141"/>
      <c r="I467" s="141"/>
      <c r="J467" s="141"/>
      <c r="K467" s="141"/>
      <c r="L467" s="141"/>
      <c r="M467" s="141"/>
      <c r="N467" s="141"/>
      <c r="O467" s="141"/>
      <c r="P467" s="141"/>
      <c r="Q467" s="141"/>
      <c r="R467" s="141"/>
      <c r="S467" s="141"/>
      <c r="T467" s="141"/>
      <c r="U467" s="141"/>
    </row>
    <row r="468" spans="1:21" x14ac:dyDescent="0.25">
      <c r="A468" s="141"/>
      <c r="B468" s="141"/>
      <c r="C468" s="141"/>
      <c r="D468" s="141"/>
      <c r="E468" s="141"/>
      <c r="F468" s="141"/>
      <c r="G468" s="141"/>
      <c r="H468" s="141"/>
      <c r="I468" s="141"/>
      <c r="J468" s="141"/>
      <c r="K468" s="141"/>
      <c r="L468" s="141"/>
      <c r="M468" s="141"/>
      <c r="N468" s="141"/>
      <c r="O468" s="141"/>
      <c r="P468" s="141"/>
      <c r="Q468" s="141"/>
      <c r="R468" s="141"/>
      <c r="S468" s="141"/>
      <c r="T468" s="141"/>
      <c r="U468" s="141"/>
    </row>
    <row r="469" spans="1:21" x14ac:dyDescent="0.25">
      <c r="A469" s="141"/>
      <c r="B469" s="141"/>
      <c r="C469" s="141"/>
      <c r="D469" s="141"/>
      <c r="E469" s="141"/>
      <c r="F469" s="141"/>
      <c r="G469" s="141"/>
      <c r="H469" s="141"/>
      <c r="I469" s="141"/>
      <c r="J469" s="141"/>
      <c r="K469" s="141"/>
      <c r="L469" s="141"/>
      <c r="M469" s="141"/>
      <c r="N469" s="141"/>
      <c r="O469" s="141"/>
      <c r="P469" s="141"/>
      <c r="Q469" s="141"/>
      <c r="R469" s="141"/>
      <c r="S469" s="141"/>
      <c r="T469" s="141"/>
      <c r="U469" s="141"/>
    </row>
    <row r="470" spans="1:21" x14ac:dyDescent="0.25">
      <c r="A470" s="141"/>
      <c r="B470" s="141"/>
      <c r="C470" s="141"/>
      <c r="D470" s="141"/>
      <c r="E470" s="141"/>
      <c r="F470" s="141"/>
      <c r="G470" s="141"/>
      <c r="H470" s="141"/>
      <c r="I470" s="141"/>
      <c r="J470" s="141"/>
      <c r="K470" s="141"/>
      <c r="L470" s="141"/>
      <c r="M470" s="141"/>
      <c r="N470" s="141"/>
      <c r="O470" s="141"/>
      <c r="P470" s="141"/>
      <c r="Q470" s="141"/>
      <c r="R470" s="141"/>
      <c r="S470" s="141"/>
      <c r="T470" s="141"/>
      <c r="U470" s="141"/>
    </row>
    <row r="471" spans="1:21" x14ac:dyDescent="0.25">
      <c r="A471" s="141"/>
      <c r="B471" s="141"/>
      <c r="C471" s="141"/>
      <c r="D471" s="141"/>
      <c r="E471" s="141"/>
      <c r="F471" s="141"/>
      <c r="G471" s="141"/>
      <c r="H471" s="141"/>
      <c r="I471" s="141"/>
      <c r="J471" s="141"/>
      <c r="K471" s="141"/>
      <c r="L471" s="141"/>
      <c r="M471" s="141"/>
      <c r="N471" s="141"/>
      <c r="O471" s="141"/>
      <c r="P471" s="141"/>
      <c r="Q471" s="141"/>
      <c r="R471" s="141"/>
      <c r="S471" s="141"/>
      <c r="T471" s="141"/>
      <c r="U471" s="141"/>
    </row>
    <row r="472" spans="1:21" x14ac:dyDescent="0.25">
      <c r="A472" s="141"/>
      <c r="B472" s="141"/>
      <c r="C472" s="141"/>
      <c r="D472" s="141"/>
      <c r="E472" s="141"/>
      <c r="F472" s="141"/>
      <c r="G472" s="141"/>
      <c r="H472" s="141"/>
      <c r="I472" s="141"/>
      <c r="J472" s="141"/>
      <c r="K472" s="141"/>
      <c r="L472" s="141"/>
      <c r="M472" s="141"/>
      <c r="N472" s="141"/>
      <c r="O472" s="141"/>
      <c r="P472" s="141"/>
      <c r="Q472" s="141"/>
      <c r="R472" s="141"/>
      <c r="S472" s="141"/>
      <c r="T472" s="141"/>
      <c r="U472" s="141"/>
    </row>
    <row r="473" spans="1:21" x14ac:dyDescent="0.25">
      <c r="A473" s="141"/>
      <c r="B473" s="141"/>
      <c r="C473" s="141"/>
      <c r="D473" s="141"/>
      <c r="E473" s="141"/>
      <c r="F473" s="141"/>
      <c r="G473" s="141"/>
      <c r="H473" s="141"/>
      <c r="I473" s="141"/>
      <c r="J473" s="141"/>
      <c r="K473" s="141"/>
      <c r="L473" s="141"/>
      <c r="M473" s="141"/>
      <c r="N473" s="141"/>
      <c r="O473" s="141"/>
      <c r="P473" s="141"/>
      <c r="Q473" s="141"/>
      <c r="R473" s="141"/>
      <c r="S473" s="141"/>
      <c r="T473" s="141"/>
      <c r="U473" s="141"/>
    </row>
    <row r="474" spans="1:21" x14ac:dyDescent="0.25">
      <c r="A474" s="141"/>
      <c r="B474" s="141"/>
      <c r="C474" s="141"/>
      <c r="D474" s="141"/>
      <c r="E474" s="141"/>
      <c r="F474" s="141"/>
      <c r="G474" s="141"/>
      <c r="H474" s="141"/>
      <c r="I474" s="141"/>
      <c r="J474" s="141"/>
      <c r="K474" s="141"/>
      <c r="L474" s="141"/>
      <c r="M474" s="141"/>
      <c r="N474" s="141"/>
      <c r="O474" s="141"/>
      <c r="P474" s="141"/>
      <c r="Q474" s="141"/>
      <c r="R474" s="141"/>
      <c r="S474" s="141"/>
      <c r="T474" s="141"/>
      <c r="U474" s="141"/>
    </row>
    <row r="475" spans="1:21" x14ac:dyDescent="0.25">
      <c r="A475" s="141"/>
      <c r="B475" s="141"/>
      <c r="C475" s="141"/>
      <c r="D475" s="141"/>
      <c r="E475" s="141"/>
      <c r="F475" s="141"/>
      <c r="G475" s="141"/>
      <c r="H475" s="141"/>
      <c r="I475" s="141"/>
      <c r="J475" s="141"/>
      <c r="K475" s="141"/>
      <c r="L475" s="141"/>
      <c r="M475" s="141"/>
      <c r="N475" s="141"/>
      <c r="O475" s="141"/>
      <c r="P475" s="141"/>
      <c r="Q475" s="141"/>
      <c r="R475" s="141"/>
      <c r="S475" s="141"/>
      <c r="T475" s="141"/>
      <c r="U475" s="141"/>
    </row>
    <row r="476" spans="1:21" x14ac:dyDescent="0.25">
      <c r="A476" s="141"/>
      <c r="B476" s="141"/>
      <c r="C476" s="141"/>
      <c r="D476" s="141"/>
      <c r="E476" s="141"/>
      <c r="F476" s="141"/>
      <c r="G476" s="141"/>
      <c r="H476" s="141"/>
      <c r="I476" s="141"/>
      <c r="J476" s="141"/>
      <c r="K476" s="141"/>
      <c r="L476" s="141"/>
      <c r="M476" s="141"/>
      <c r="N476" s="141"/>
      <c r="O476" s="141"/>
      <c r="P476" s="141"/>
      <c r="Q476" s="141"/>
      <c r="R476" s="141"/>
      <c r="S476" s="141"/>
      <c r="T476" s="141"/>
      <c r="U476" s="141"/>
    </row>
    <row r="477" spans="1:21" x14ac:dyDescent="0.25">
      <c r="A477" s="141"/>
      <c r="B477" s="141"/>
      <c r="C477" s="141"/>
      <c r="D477" s="141"/>
      <c r="E477" s="141"/>
      <c r="F477" s="141"/>
      <c r="G477" s="141"/>
      <c r="H477" s="141"/>
      <c r="I477" s="141"/>
      <c r="J477" s="141"/>
      <c r="K477" s="141"/>
      <c r="L477" s="141"/>
      <c r="M477" s="141"/>
      <c r="N477" s="141"/>
      <c r="O477" s="141"/>
      <c r="P477" s="141"/>
      <c r="Q477" s="141"/>
      <c r="R477" s="141"/>
      <c r="S477" s="141"/>
      <c r="T477" s="141"/>
      <c r="U477" s="141"/>
    </row>
    <row r="478" spans="1:21" x14ac:dyDescent="0.25">
      <c r="A478" s="141"/>
      <c r="B478" s="141"/>
      <c r="C478" s="141"/>
      <c r="D478" s="141"/>
      <c r="E478" s="141"/>
      <c r="F478" s="141"/>
      <c r="G478" s="141"/>
      <c r="H478" s="141"/>
      <c r="I478" s="141"/>
      <c r="J478" s="141"/>
      <c r="K478" s="141"/>
      <c r="L478" s="141"/>
      <c r="M478" s="141"/>
      <c r="N478" s="141"/>
      <c r="O478" s="141"/>
      <c r="P478" s="141"/>
      <c r="Q478" s="141"/>
      <c r="R478" s="141"/>
      <c r="S478" s="141"/>
      <c r="T478" s="141"/>
      <c r="U478" s="141"/>
    </row>
    <row r="479" spans="1:21" x14ac:dyDescent="0.25">
      <c r="A479" s="141"/>
      <c r="B479" s="141"/>
      <c r="C479" s="141"/>
      <c r="D479" s="141"/>
      <c r="E479" s="141"/>
      <c r="F479" s="141"/>
      <c r="G479" s="141"/>
      <c r="H479" s="141"/>
      <c r="I479" s="141"/>
      <c r="J479" s="141"/>
      <c r="K479" s="141"/>
      <c r="L479" s="141"/>
      <c r="M479" s="141"/>
      <c r="N479" s="141"/>
      <c r="O479" s="141"/>
      <c r="P479" s="141"/>
      <c r="Q479" s="141"/>
      <c r="R479" s="141"/>
      <c r="S479" s="141"/>
      <c r="T479" s="141"/>
      <c r="U479" s="141"/>
    </row>
    <row r="480" spans="1:21" x14ac:dyDescent="0.25">
      <c r="A480" s="141"/>
      <c r="B480" s="141"/>
      <c r="C480" s="141"/>
      <c r="D480" s="141"/>
      <c r="E480" s="141"/>
      <c r="F480" s="141"/>
      <c r="G480" s="141"/>
      <c r="H480" s="141"/>
      <c r="I480" s="141"/>
      <c r="J480" s="141"/>
      <c r="K480" s="141"/>
      <c r="L480" s="141"/>
      <c r="M480" s="141"/>
      <c r="N480" s="141"/>
      <c r="O480" s="141"/>
      <c r="P480" s="141"/>
      <c r="Q480" s="141"/>
      <c r="R480" s="141"/>
      <c r="S480" s="141"/>
      <c r="T480" s="141"/>
      <c r="U480" s="141"/>
    </row>
    <row r="481" spans="1:21" x14ac:dyDescent="0.25">
      <c r="A481" s="141"/>
      <c r="B481" s="141"/>
      <c r="C481" s="141"/>
      <c r="D481" s="141"/>
      <c r="E481" s="141"/>
      <c r="F481" s="141"/>
      <c r="G481" s="141"/>
      <c r="H481" s="141"/>
      <c r="I481" s="141"/>
      <c r="J481" s="141"/>
      <c r="K481" s="141"/>
      <c r="L481" s="141"/>
      <c r="M481" s="141"/>
      <c r="N481" s="141"/>
      <c r="O481" s="141"/>
      <c r="P481" s="141"/>
      <c r="Q481" s="141"/>
      <c r="R481" s="141"/>
      <c r="S481" s="141"/>
      <c r="T481" s="141"/>
      <c r="U481" s="141"/>
    </row>
    <row r="482" spans="1:21" x14ac:dyDescent="0.25">
      <c r="A482" s="141"/>
      <c r="B482" s="141"/>
      <c r="C482" s="141"/>
      <c r="D482" s="141"/>
      <c r="E482" s="141"/>
      <c r="F482" s="141"/>
      <c r="G482" s="141"/>
      <c r="H482" s="141"/>
      <c r="I482" s="141"/>
      <c r="J482" s="141"/>
      <c r="K482" s="141"/>
      <c r="L482" s="141"/>
      <c r="M482" s="141"/>
      <c r="N482" s="141"/>
      <c r="O482" s="141"/>
      <c r="P482" s="141"/>
      <c r="Q482" s="141"/>
      <c r="R482" s="141"/>
      <c r="S482" s="141"/>
      <c r="T482" s="141"/>
      <c r="U482" s="141"/>
    </row>
    <row r="483" spans="1:21" x14ac:dyDescent="0.25">
      <c r="A483" s="141"/>
      <c r="B483" s="141"/>
      <c r="C483" s="141"/>
      <c r="D483" s="141"/>
      <c r="E483" s="141"/>
      <c r="F483" s="141"/>
      <c r="G483" s="141"/>
      <c r="H483" s="141"/>
      <c r="I483" s="141"/>
      <c r="J483" s="141"/>
      <c r="K483" s="141"/>
      <c r="L483" s="141"/>
      <c r="M483" s="141"/>
      <c r="N483" s="141"/>
      <c r="O483" s="141"/>
      <c r="P483" s="141"/>
      <c r="Q483" s="141"/>
      <c r="R483" s="141"/>
      <c r="S483" s="141"/>
      <c r="T483" s="141"/>
      <c r="U483" s="141"/>
    </row>
    <row r="484" spans="1:21" x14ac:dyDescent="0.25">
      <c r="A484" s="141"/>
      <c r="B484" s="141"/>
      <c r="C484" s="141"/>
      <c r="D484" s="141"/>
      <c r="E484" s="141"/>
      <c r="F484" s="141"/>
      <c r="G484" s="141"/>
      <c r="H484" s="141"/>
      <c r="I484" s="141"/>
      <c r="J484" s="141"/>
      <c r="K484" s="141"/>
      <c r="L484" s="141"/>
      <c r="M484" s="141"/>
      <c r="N484" s="141"/>
      <c r="O484" s="141"/>
      <c r="P484" s="141"/>
      <c r="Q484" s="141"/>
      <c r="R484" s="141"/>
      <c r="S484" s="141"/>
      <c r="T484" s="141"/>
      <c r="U484" s="141"/>
    </row>
    <row r="485" spans="1:21" x14ac:dyDescent="0.25">
      <c r="A485" s="141"/>
      <c r="B485" s="141"/>
      <c r="C485" s="141"/>
      <c r="D485" s="141"/>
      <c r="E485" s="141"/>
      <c r="F485" s="141"/>
      <c r="G485" s="141"/>
      <c r="H485" s="141"/>
      <c r="I485" s="141"/>
      <c r="J485" s="141"/>
      <c r="K485" s="141"/>
      <c r="L485" s="141"/>
      <c r="M485" s="141"/>
      <c r="N485" s="141"/>
      <c r="O485" s="141"/>
      <c r="P485" s="141"/>
      <c r="Q485" s="141"/>
      <c r="R485" s="141"/>
      <c r="S485" s="141"/>
      <c r="T485" s="141"/>
      <c r="U485" s="141"/>
    </row>
    <row r="486" spans="1:21" x14ac:dyDescent="0.25">
      <c r="A486" s="141"/>
      <c r="B486" s="141"/>
      <c r="C486" s="141"/>
      <c r="D486" s="141"/>
      <c r="E486" s="141"/>
      <c r="F486" s="141"/>
      <c r="G486" s="141"/>
      <c r="H486" s="141"/>
      <c r="I486" s="141"/>
      <c r="J486" s="141"/>
      <c r="K486" s="141"/>
      <c r="L486" s="141"/>
      <c r="M486" s="141"/>
      <c r="N486" s="141"/>
      <c r="O486" s="141"/>
      <c r="P486" s="141"/>
      <c r="Q486" s="141"/>
      <c r="R486" s="141"/>
      <c r="S486" s="141"/>
      <c r="T486" s="141"/>
      <c r="U486" s="141"/>
    </row>
    <row r="487" spans="1:21" x14ac:dyDescent="0.25">
      <c r="A487" s="141"/>
      <c r="B487" s="141"/>
      <c r="C487" s="141"/>
      <c r="D487" s="141"/>
      <c r="E487" s="141"/>
      <c r="F487" s="141"/>
      <c r="G487" s="141"/>
      <c r="H487" s="141"/>
      <c r="I487" s="141"/>
      <c r="J487" s="141"/>
      <c r="K487" s="141"/>
      <c r="L487" s="141"/>
      <c r="M487" s="141"/>
      <c r="N487" s="141"/>
      <c r="O487" s="141"/>
      <c r="P487" s="141"/>
      <c r="Q487" s="141"/>
      <c r="R487" s="141"/>
      <c r="S487" s="141"/>
      <c r="T487" s="141"/>
      <c r="U487" s="141"/>
    </row>
    <row r="488" spans="1:21" x14ac:dyDescent="0.25">
      <c r="A488" s="141"/>
      <c r="B488" s="141"/>
      <c r="C488" s="141"/>
      <c r="D488" s="141"/>
      <c r="E488" s="141"/>
      <c r="F488" s="141"/>
      <c r="G488" s="141"/>
      <c r="H488" s="141"/>
      <c r="I488" s="141"/>
      <c r="J488" s="141"/>
      <c r="K488" s="141"/>
      <c r="L488" s="141"/>
      <c r="M488" s="141"/>
      <c r="N488" s="141"/>
      <c r="O488" s="141"/>
      <c r="P488" s="141"/>
      <c r="Q488" s="141"/>
      <c r="R488" s="141"/>
      <c r="S488" s="141"/>
      <c r="T488" s="141"/>
      <c r="U488" s="141"/>
    </row>
    <row r="489" spans="1:21" x14ac:dyDescent="0.25">
      <c r="A489" s="141"/>
      <c r="B489" s="141"/>
      <c r="C489" s="141"/>
      <c r="D489" s="141"/>
      <c r="E489" s="141"/>
      <c r="F489" s="141"/>
      <c r="G489" s="141"/>
      <c r="H489" s="141"/>
      <c r="I489" s="141"/>
      <c r="J489" s="141"/>
      <c r="K489" s="141"/>
      <c r="L489" s="141"/>
      <c r="M489" s="141"/>
      <c r="N489" s="141"/>
      <c r="O489" s="141"/>
      <c r="P489" s="141"/>
      <c r="Q489" s="141"/>
      <c r="R489" s="141"/>
      <c r="S489" s="141"/>
      <c r="T489" s="141"/>
      <c r="U489" s="141"/>
    </row>
    <row r="490" spans="1:21" x14ac:dyDescent="0.25">
      <c r="A490" s="141"/>
      <c r="B490" s="141"/>
      <c r="C490" s="141"/>
      <c r="D490" s="141"/>
      <c r="E490" s="141"/>
      <c r="F490" s="141"/>
      <c r="G490" s="141"/>
      <c r="H490" s="141"/>
      <c r="I490" s="141"/>
      <c r="J490" s="141"/>
      <c r="K490" s="141"/>
      <c r="L490" s="141"/>
      <c r="M490" s="141"/>
      <c r="N490" s="141"/>
      <c r="O490" s="141"/>
      <c r="P490" s="141"/>
      <c r="Q490" s="141"/>
      <c r="R490" s="141"/>
      <c r="S490" s="141"/>
      <c r="T490" s="141"/>
      <c r="U490" s="141"/>
    </row>
    <row r="491" spans="1:21" x14ac:dyDescent="0.25">
      <c r="A491" s="141"/>
      <c r="B491" s="141"/>
      <c r="C491" s="141"/>
      <c r="D491" s="141"/>
      <c r="E491" s="141"/>
      <c r="F491" s="141"/>
      <c r="G491" s="141"/>
      <c r="H491" s="141"/>
      <c r="I491" s="141"/>
      <c r="J491" s="141"/>
      <c r="K491" s="141"/>
      <c r="L491" s="141"/>
      <c r="M491" s="141"/>
      <c r="N491" s="141"/>
      <c r="O491" s="141"/>
      <c r="P491" s="141"/>
      <c r="Q491" s="141"/>
      <c r="R491" s="141"/>
      <c r="S491" s="141"/>
      <c r="T491" s="141"/>
      <c r="U491" s="141"/>
    </row>
    <row r="492" spans="1:21" x14ac:dyDescent="0.25">
      <c r="A492" s="141"/>
      <c r="B492" s="141"/>
      <c r="C492" s="141"/>
      <c r="D492" s="141"/>
      <c r="E492" s="141"/>
      <c r="F492" s="141"/>
      <c r="G492" s="141"/>
      <c r="H492" s="141"/>
      <c r="I492" s="141"/>
      <c r="J492" s="141"/>
      <c r="K492" s="141"/>
      <c r="L492" s="141"/>
      <c r="M492" s="141"/>
      <c r="N492" s="141"/>
      <c r="O492" s="141"/>
      <c r="P492" s="141"/>
      <c r="Q492" s="141"/>
      <c r="R492" s="141"/>
      <c r="S492" s="141"/>
      <c r="T492" s="141"/>
      <c r="U492" s="141"/>
    </row>
    <row r="493" spans="1:21" x14ac:dyDescent="0.25">
      <c r="A493" s="141"/>
      <c r="B493" s="141"/>
      <c r="C493" s="141"/>
      <c r="D493" s="141"/>
      <c r="E493" s="141"/>
      <c r="F493" s="141"/>
      <c r="G493" s="141"/>
      <c r="H493" s="141"/>
      <c r="I493" s="141"/>
      <c r="J493" s="141"/>
      <c r="K493" s="141"/>
      <c r="L493" s="141"/>
      <c r="M493" s="141"/>
      <c r="N493" s="141"/>
      <c r="O493" s="141"/>
      <c r="P493" s="141"/>
      <c r="Q493" s="141"/>
      <c r="R493" s="141"/>
      <c r="S493" s="141"/>
      <c r="T493" s="141"/>
      <c r="U493" s="141"/>
    </row>
    <row r="494" spans="1:21" x14ac:dyDescent="0.25">
      <c r="A494" s="141"/>
      <c r="B494" s="141"/>
      <c r="C494" s="141"/>
      <c r="D494" s="141"/>
      <c r="E494" s="141"/>
      <c r="F494" s="141"/>
      <c r="G494" s="141"/>
      <c r="H494" s="141"/>
      <c r="I494" s="141"/>
      <c r="J494" s="141"/>
      <c r="K494" s="141"/>
      <c r="L494" s="141"/>
      <c r="M494" s="141"/>
      <c r="N494" s="141"/>
      <c r="O494" s="141"/>
      <c r="P494" s="141"/>
      <c r="Q494" s="141"/>
      <c r="R494" s="141"/>
      <c r="S494" s="141"/>
      <c r="T494" s="141"/>
      <c r="U494" s="141"/>
    </row>
    <row r="495" spans="1:21" x14ac:dyDescent="0.25">
      <c r="A495" s="141"/>
      <c r="B495" s="141"/>
      <c r="C495" s="141"/>
      <c r="D495" s="141"/>
      <c r="E495" s="141"/>
      <c r="F495" s="141"/>
      <c r="G495" s="141"/>
      <c r="H495" s="141"/>
      <c r="I495" s="141"/>
      <c r="J495" s="141"/>
      <c r="K495" s="141"/>
      <c r="L495" s="141"/>
      <c r="M495" s="141"/>
      <c r="N495" s="141"/>
      <c r="O495" s="141"/>
      <c r="P495" s="141"/>
      <c r="Q495" s="141"/>
      <c r="R495" s="141"/>
      <c r="S495" s="141"/>
      <c r="T495" s="141"/>
      <c r="U495" s="141"/>
    </row>
    <row r="496" spans="1:21" x14ac:dyDescent="0.25">
      <c r="A496" s="141"/>
      <c r="B496" s="141"/>
      <c r="C496" s="141"/>
      <c r="D496" s="141"/>
      <c r="E496" s="141"/>
      <c r="F496" s="141"/>
      <c r="G496" s="141"/>
      <c r="H496" s="141"/>
      <c r="I496" s="141"/>
      <c r="J496" s="141"/>
      <c r="K496" s="141"/>
      <c r="L496" s="141"/>
      <c r="M496" s="141"/>
      <c r="N496" s="141"/>
      <c r="O496" s="141"/>
      <c r="P496" s="141"/>
      <c r="Q496" s="141"/>
      <c r="R496" s="141"/>
      <c r="S496" s="141"/>
      <c r="T496" s="141"/>
      <c r="U496" s="141"/>
    </row>
    <row r="497" spans="1:21" x14ac:dyDescent="0.25">
      <c r="A497" s="141"/>
      <c r="B497" s="141"/>
      <c r="C497" s="141"/>
      <c r="D497" s="141"/>
      <c r="E497" s="141"/>
      <c r="F497" s="141"/>
      <c r="G497" s="141"/>
      <c r="H497" s="141"/>
      <c r="I497" s="141"/>
      <c r="J497" s="141"/>
      <c r="K497" s="141"/>
      <c r="L497" s="141"/>
      <c r="M497" s="141"/>
      <c r="N497" s="141"/>
      <c r="O497" s="141"/>
      <c r="P497" s="141"/>
      <c r="Q497" s="141"/>
      <c r="R497" s="141"/>
      <c r="S497" s="141"/>
      <c r="T497" s="141"/>
      <c r="U497" s="141"/>
    </row>
    <row r="498" spans="1:21" x14ac:dyDescent="0.25">
      <c r="A498" s="141"/>
      <c r="B498" s="141"/>
      <c r="C498" s="141"/>
      <c r="D498" s="141"/>
      <c r="E498" s="141"/>
      <c r="F498" s="141"/>
      <c r="G498" s="141"/>
      <c r="H498" s="141"/>
      <c r="I498" s="141"/>
      <c r="J498" s="141"/>
      <c r="K498" s="141"/>
      <c r="L498" s="141"/>
      <c r="M498" s="141"/>
      <c r="N498" s="141"/>
      <c r="O498" s="141"/>
      <c r="P498" s="141"/>
      <c r="Q498" s="141"/>
      <c r="R498" s="141"/>
      <c r="S498" s="141"/>
      <c r="T498" s="141"/>
      <c r="U498" s="141"/>
    </row>
    <row r="499" spans="1:21" x14ac:dyDescent="0.25">
      <c r="A499" s="141"/>
      <c r="B499" s="141"/>
      <c r="C499" s="141"/>
      <c r="D499" s="141"/>
      <c r="E499" s="141"/>
      <c r="F499" s="141"/>
      <c r="G499" s="141"/>
      <c r="H499" s="141"/>
      <c r="I499" s="141"/>
      <c r="J499" s="141"/>
      <c r="K499" s="141"/>
      <c r="L499" s="141"/>
      <c r="M499" s="141"/>
      <c r="N499" s="141"/>
      <c r="O499" s="141"/>
      <c r="P499" s="141"/>
      <c r="Q499" s="141"/>
      <c r="R499" s="141"/>
      <c r="S499" s="141"/>
      <c r="T499" s="141"/>
      <c r="U499" s="141"/>
    </row>
    <row r="500" spans="1:21" x14ac:dyDescent="0.25">
      <c r="A500" s="141"/>
      <c r="B500" s="141"/>
      <c r="C500" s="141"/>
      <c r="D500" s="141"/>
      <c r="E500" s="141"/>
      <c r="F500" s="141"/>
      <c r="G500" s="141"/>
      <c r="H500" s="141"/>
      <c r="I500" s="141"/>
      <c r="J500" s="141"/>
      <c r="K500" s="141"/>
      <c r="L500" s="141"/>
      <c r="M500" s="141"/>
      <c r="N500" s="141"/>
      <c r="O500" s="141"/>
      <c r="P500" s="141"/>
      <c r="Q500" s="141"/>
      <c r="R500" s="141"/>
      <c r="S500" s="141"/>
      <c r="T500" s="141"/>
      <c r="U500" s="141"/>
    </row>
    <row r="501" spans="1:21" x14ac:dyDescent="0.25">
      <c r="A501" s="141"/>
      <c r="B501" s="141"/>
      <c r="C501" s="141"/>
      <c r="D501" s="141"/>
      <c r="E501" s="141"/>
      <c r="F501" s="141"/>
      <c r="G501" s="141"/>
      <c r="H501" s="141"/>
      <c r="I501" s="141"/>
      <c r="J501" s="141"/>
      <c r="K501" s="141"/>
      <c r="L501" s="141"/>
      <c r="M501" s="141"/>
      <c r="N501" s="141"/>
      <c r="O501" s="141"/>
      <c r="P501" s="141"/>
      <c r="Q501" s="141"/>
      <c r="R501" s="141"/>
      <c r="S501" s="141"/>
      <c r="T501" s="141"/>
      <c r="U501" s="141"/>
    </row>
    <row r="502" spans="1:21" x14ac:dyDescent="0.25">
      <c r="A502" s="141"/>
      <c r="B502" s="141"/>
      <c r="C502" s="141"/>
      <c r="D502" s="141"/>
      <c r="E502" s="141"/>
      <c r="F502" s="141"/>
      <c r="G502" s="141"/>
      <c r="H502" s="141"/>
      <c r="I502" s="141"/>
      <c r="J502" s="141"/>
      <c r="K502" s="141"/>
      <c r="L502" s="141"/>
      <c r="M502" s="141"/>
      <c r="N502" s="141"/>
      <c r="O502" s="141"/>
      <c r="P502" s="141"/>
      <c r="Q502" s="141"/>
      <c r="R502" s="141"/>
      <c r="S502" s="141"/>
      <c r="T502" s="141"/>
      <c r="U502" s="141"/>
    </row>
    <row r="503" spans="1:21" x14ac:dyDescent="0.25">
      <c r="A503" s="141"/>
      <c r="B503" s="141"/>
      <c r="C503" s="141"/>
      <c r="D503" s="141"/>
      <c r="E503" s="141"/>
      <c r="F503" s="141"/>
      <c r="G503" s="141"/>
      <c r="H503" s="141"/>
      <c r="I503" s="141"/>
      <c r="J503" s="141"/>
      <c r="K503" s="141"/>
      <c r="L503" s="141"/>
      <c r="M503" s="141"/>
      <c r="N503" s="141"/>
      <c r="O503" s="141"/>
      <c r="P503" s="141"/>
      <c r="Q503" s="141"/>
      <c r="R503" s="141"/>
      <c r="S503" s="141"/>
      <c r="T503" s="141"/>
      <c r="U503" s="141"/>
    </row>
    <row r="504" spans="1:21" x14ac:dyDescent="0.25">
      <c r="A504" s="141"/>
      <c r="B504" s="141"/>
      <c r="C504" s="141"/>
      <c r="D504" s="141"/>
      <c r="E504" s="141"/>
      <c r="F504" s="141"/>
      <c r="G504" s="141"/>
      <c r="H504" s="141"/>
      <c r="I504" s="141"/>
      <c r="J504" s="141"/>
      <c r="K504" s="141"/>
      <c r="L504" s="141"/>
      <c r="M504" s="141"/>
      <c r="N504" s="141"/>
      <c r="O504" s="141"/>
      <c r="P504" s="141"/>
      <c r="Q504" s="141"/>
      <c r="R504" s="141"/>
      <c r="S504" s="141"/>
      <c r="T504" s="141"/>
      <c r="U504" s="141"/>
    </row>
    <row r="505" spans="1:21" x14ac:dyDescent="0.25">
      <c r="A505" s="141"/>
      <c r="B505" s="141"/>
      <c r="C505" s="141"/>
      <c r="D505" s="141"/>
      <c r="E505" s="141"/>
      <c r="F505" s="141"/>
      <c r="G505" s="141"/>
      <c r="H505" s="141"/>
      <c r="I505" s="141"/>
      <c r="J505" s="141"/>
      <c r="K505" s="141"/>
      <c r="L505" s="141"/>
      <c r="M505" s="141"/>
      <c r="N505" s="141"/>
      <c r="O505" s="141"/>
      <c r="P505" s="141"/>
      <c r="Q505" s="141"/>
      <c r="R505" s="141"/>
      <c r="S505" s="141"/>
      <c r="T505" s="141"/>
      <c r="U505" s="141"/>
    </row>
    <row r="506" spans="1:21" x14ac:dyDescent="0.25">
      <c r="A506" s="141"/>
      <c r="B506" s="141"/>
      <c r="C506" s="141"/>
      <c r="D506" s="141"/>
      <c r="E506" s="141"/>
      <c r="F506" s="141"/>
      <c r="G506" s="141"/>
      <c r="H506" s="141"/>
      <c r="I506" s="141"/>
      <c r="J506" s="141"/>
      <c r="K506" s="141"/>
      <c r="L506" s="141"/>
      <c r="M506" s="141"/>
      <c r="N506" s="141"/>
      <c r="O506" s="141"/>
      <c r="P506" s="141"/>
      <c r="Q506" s="141"/>
      <c r="R506" s="141"/>
      <c r="S506" s="141"/>
      <c r="T506" s="141"/>
      <c r="U506" s="141"/>
    </row>
    <row r="507" spans="1:21" x14ac:dyDescent="0.25">
      <c r="A507" s="141"/>
      <c r="B507" s="141"/>
      <c r="C507" s="141"/>
      <c r="D507" s="141"/>
      <c r="E507" s="141"/>
      <c r="F507" s="141"/>
      <c r="G507" s="141"/>
      <c r="H507" s="141"/>
      <c r="I507" s="141"/>
      <c r="J507" s="141"/>
      <c r="K507" s="141"/>
      <c r="L507" s="141"/>
      <c r="M507" s="141"/>
      <c r="N507" s="141"/>
      <c r="O507" s="141"/>
      <c r="P507" s="141"/>
      <c r="Q507" s="141"/>
      <c r="R507" s="141"/>
      <c r="S507" s="141"/>
      <c r="T507" s="141"/>
      <c r="U507" s="141"/>
    </row>
    <row r="508" spans="1:21" x14ac:dyDescent="0.25">
      <c r="A508" s="141"/>
      <c r="B508" s="141"/>
      <c r="C508" s="141"/>
      <c r="D508" s="141"/>
      <c r="E508" s="141"/>
      <c r="F508" s="141"/>
      <c r="G508" s="141"/>
      <c r="H508" s="141"/>
      <c r="I508" s="141"/>
      <c r="J508" s="141"/>
      <c r="K508" s="141"/>
      <c r="L508" s="141"/>
      <c r="M508" s="141"/>
      <c r="N508" s="141"/>
      <c r="O508" s="141"/>
      <c r="P508" s="141"/>
      <c r="Q508" s="141"/>
      <c r="R508" s="141"/>
      <c r="S508" s="141"/>
      <c r="T508" s="141"/>
      <c r="U508" s="141"/>
    </row>
    <row r="509" spans="1:21" x14ac:dyDescent="0.25">
      <c r="A509" s="141"/>
      <c r="B509" s="141"/>
      <c r="C509" s="141"/>
      <c r="D509" s="141"/>
      <c r="E509" s="141"/>
      <c r="F509" s="141"/>
      <c r="G509" s="141"/>
      <c r="H509" s="141"/>
      <c r="I509" s="141"/>
      <c r="J509" s="141"/>
      <c r="K509" s="141"/>
      <c r="L509" s="141"/>
      <c r="M509" s="141"/>
      <c r="N509" s="141"/>
      <c r="O509" s="141"/>
      <c r="P509" s="141"/>
      <c r="Q509" s="141"/>
      <c r="R509" s="141"/>
      <c r="S509" s="141"/>
      <c r="T509" s="141"/>
      <c r="U509" s="141"/>
    </row>
    <row r="510" spans="1:21" x14ac:dyDescent="0.25">
      <c r="A510" s="141"/>
      <c r="B510" s="141"/>
      <c r="C510" s="141"/>
      <c r="D510" s="141"/>
      <c r="E510" s="141"/>
      <c r="F510" s="141"/>
      <c r="G510" s="141"/>
      <c r="H510" s="141"/>
      <c r="I510" s="141"/>
      <c r="J510" s="141"/>
      <c r="K510" s="141"/>
      <c r="L510" s="141"/>
      <c r="M510" s="141"/>
      <c r="N510" s="141"/>
      <c r="O510" s="141"/>
      <c r="P510" s="141"/>
      <c r="Q510" s="141"/>
      <c r="R510" s="141"/>
      <c r="S510" s="141"/>
      <c r="T510" s="141"/>
      <c r="U510" s="141"/>
    </row>
    <row r="511" spans="1:21" x14ac:dyDescent="0.25">
      <c r="A511" s="141"/>
      <c r="B511" s="141"/>
      <c r="C511" s="141"/>
      <c r="D511" s="141"/>
      <c r="E511" s="141"/>
      <c r="F511" s="141"/>
      <c r="G511" s="141"/>
      <c r="H511" s="141"/>
      <c r="I511" s="141"/>
      <c r="J511" s="141"/>
      <c r="K511" s="141"/>
      <c r="L511" s="141"/>
      <c r="M511" s="141"/>
      <c r="N511" s="141"/>
      <c r="O511" s="141"/>
      <c r="P511" s="141"/>
      <c r="Q511" s="141"/>
      <c r="R511" s="141"/>
      <c r="S511" s="141"/>
      <c r="T511" s="141"/>
      <c r="U511" s="141"/>
    </row>
    <row r="512" spans="1:21" x14ac:dyDescent="0.25">
      <c r="A512" s="141"/>
      <c r="B512" s="141"/>
      <c r="C512" s="141"/>
      <c r="D512" s="141"/>
      <c r="E512" s="141"/>
      <c r="F512" s="141"/>
      <c r="G512" s="141"/>
      <c r="H512" s="141"/>
      <c r="I512" s="141"/>
      <c r="J512" s="141"/>
      <c r="K512" s="141"/>
      <c r="L512" s="141"/>
      <c r="M512" s="141"/>
      <c r="N512" s="141"/>
      <c r="O512" s="141"/>
      <c r="P512" s="141"/>
      <c r="Q512" s="141"/>
      <c r="R512" s="141"/>
      <c r="S512" s="141"/>
      <c r="T512" s="141"/>
      <c r="U512" s="141"/>
    </row>
    <row r="513" spans="1:21" x14ac:dyDescent="0.25">
      <c r="A513" s="141"/>
      <c r="B513" s="141"/>
      <c r="C513" s="141"/>
      <c r="D513" s="141"/>
      <c r="E513" s="141"/>
      <c r="F513" s="141"/>
      <c r="G513" s="141"/>
      <c r="H513" s="141"/>
      <c r="I513" s="141"/>
      <c r="J513" s="141"/>
      <c r="K513" s="141"/>
      <c r="L513" s="141"/>
      <c r="M513" s="141"/>
      <c r="N513" s="141"/>
      <c r="O513" s="141"/>
      <c r="P513" s="141"/>
      <c r="Q513" s="141"/>
      <c r="R513" s="141"/>
      <c r="S513" s="141"/>
      <c r="T513" s="141"/>
      <c r="U513" s="141"/>
    </row>
    <row r="514" spans="1:21" x14ac:dyDescent="0.25">
      <c r="A514" s="141"/>
      <c r="B514" s="141"/>
      <c r="C514" s="141"/>
      <c r="D514" s="141"/>
      <c r="E514" s="141"/>
      <c r="F514" s="141"/>
      <c r="G514" s="141"/>
      <c r="H514" s="141"/>
      <c r="I514" s="141"/>
      <c r="J514" s="141"/>
      <c r="K514" s="141"/>
      <c r="L514" s="141"/>
      <c r="M514" s="141"/>
      <c r="N514" s="141"/>
      <c r="O514" s="141"/>
      <c r="P514" s="141"/>
      <c r="Q514" s="141"/>
      <c r="R514" s="141"/>
      <c r="S514" s="141"/>
      <c r="T514" s="141"/>
      <c r="U514" s="141"/>
    </row>
    <row r="515" spans="1:21" x14ac:dyDescent="0.25">
      <c r="A515" s="141"/>
      <c r="B515" s="141"/>
      <c r="C515" s="141"/>
      <c r="D515" s="141"/>
      <c r="E515" s="141"/>
      <c r="F515" s="141"/>
      <c r="G515" s="141"/>
      <c r="H515" s="141"/>
      <c r="I515" s="141"/>
      <c r="J515" s="141"/>
      <c r="K515" s="141"/>
      <c r="L515" s="141"/>
      <c r="M515" s="141"/>
      <c r="N515" s="141"/>
      <c r="O515" s="141"/>
      <c r="P515" s="141"/>
      <c r="Q515" s="141"/>
      <c r="R515" s="141"/>
      <c r="S515" s="141"/>
      <c r="T515" s="141"/>
      <c r="U515" s="141"/>
    </row>
    <row r="516" spans="1:21" x14ac:dyDescent="0.25">
      <c r="A516" s="141"/>
      <c r="B516" s="141"/>
      <c r="C516" s="141"/>
      <c r="D516" s="141"/>
      <c r="E516" s="141"/>
      <c r="F516" s="141"/>
      <c r="G516" s="141"/>
      <c r="H516" s="141"/>
      <c r="I516" s="141"/>
      <c r="J516" s="141"/>
      <c r="K516" s="141"/>
      <c r="L516" s="141"/>
      <c r="M516" s="141"/>
      <c r="N516" s="141"/>
      <c r="O516" s="141"/>
      <c r="P516" s="141"/>
      <c r="Q516" s="141"/>
      <c r="R516" s="141"/>
      <c r="S516" s="141"/>
      <c r="T516" s="141"/>
      <c r="U516" s="141"/>
    </row>
    <row r="517" spans="1:21" x14ac:dyDescent="0.25">
      <c r="A517" s="141"/>
      <c r="B517" s="141"/>
      <c r="C517" s="141"/>
      <c r="D517" s="141"/>
      <c r="E517" s="141"/>
      <c r="F517" s="141"/>
      <c r="G517" s="141"/>
      <c r="H517" s="141"/>
      <c r="I517" s="141"/>
      <c r="J517" s="141"/>
      <c r="K517" s="141"/>
      <c r="L517" s="141"/>
      <c r="M517" s="141"/>
      <c r="N517" s="141"/>
      <c r="O517" s="141"/>
      <c r="P517" s="141"/>
      <c r="Q517" s="141"/>
      <c r="R517" s="141"/>
      <c r="S517" s="141"/>
      <c r="T517" s="141"/>
      <c r="U517" s="141"/>
    </row>
    <row r="518" spans="1:21" x14ac:dyDescent="0.25">
      <c r="A518" s="141"/>
      <c r="B518" s="141"/>
      <c r="C518" s="141"/>
      <c r="D518" s="141"/>
      <c r="E518" s="141"/>
      <c r="F518" s="141"/>
      <c r="G518" s="141"/>
      <c r="H518" s="141"/>
      <c r="I518" s="141"/>
      <c r="J518" s="141"/>
      <c r="K518" s="141"/>
      <c r="L518" s="141"/>
      <c r="M518" s="141"/>
      <c r="N518" s="141"/>
      <c r="O518" s="141"/>
      <c r="P518" s="141"/>
      <c r="Q518" s="141"/>
      <c r="R518" s="141"/>
      <c r="S518" s="141"/>
      <c r="T518" s="141"/>
      <c r="U518" s="141"/>
    </row>
    <row r="519" spans="1:21" x14ac:dyDescent="0.25">
      <c r="A519" s="141"/>
      <c r="B519" s="141"/>
      <c r="C519" s="141"/>
      <c r="D519" s="141"/>
      <c r="E519" s="141"/>
      <c r="F519" s="141"/>
      <c r="G519" s="141"/>
      <c r="H519" s="141"/>
      <c r="I519" s="141"/>
      <c r="J519" s="141"/>
      <c r="K519" s="141"/>
      <c r="L519" s="141"/>
      <c r="M519" s="141"/>
      <c r="N519" s="141"/>
      <c r="O519" s="141"/>
      <c r="P519" s="141"/>
      <c r="Q519" s="141"/>
      <c r="R519" s="141"/>
      <c r="S519" s="141"/>
      <c r="T519" s="141"/>
      <c r="U519" s="141"/>
    </row>
    <row r="520" spans="1:21" x14ac:dyDescent="0.25">
      <c r="A520" s="141"/>
      <c r="B520" s="141"/>
      <c r="C520" s="141"/>
      <c r="D520" s="141"/>
      <c r="E520" s="141"/>
      <c r="F520" s="141"/>
      <c r="G520" s="141"/>
      <c r="H520" s="141"/>
      <c r="I520" s="141"/>
      <c r="J520" s="141"/>
      <c r="K520" s="141"/>
      <c r="L520" s="141"/>
      <c r="M520" s="141"/>
      <c r="N520" s="141"/>
      <c r="O520" s="141"/>
      <c r="P520" s="141"/>
      <c r="Q520" s="141"/>
      <c r="R520" s="141"/>
      <c r="S520" s="141"/>
      <c r="T520" s="141"/>
      <c r="U520" s="141"/>
    </row>
    <row r="521" spans="1:21" x14ac:dyDescent="0.25">
      <c r="A521" s="141"/>
      <c r="B521" s="141"/>
      <c r="C521" s="141"/>
      <c r="D521" s="141"/>
      <c r="E521" s="141"/>
      <c r="F521" s="141"/>
      <c r="G521" s="141"/>
      <c r="H521" s="141"/>
      <c r="I521" s="141"/>
      <c r="J521" s="141"/>
      <c r="K521" s="141"/>
      <c r="L521" s="141"/>
      <c r="M521" s="141"/>
      <c r="N521" s="141"/>
      <c r="O521" s="141"/>
      <c r="P521" s="141"/>
      <c r="Q521" s="141"/>
      <c r="R521" s="141"/>
      <c r="S521" s="141"/>
      <c r="T521" s="141"/>
      <c r="U521" s="141"/>
    </row>
    <row r="522" spans="1:21" x14ac:dyDescent="0.25">
      <c r="A522" s="141"/>
      <c r="B522" s="141"/>
      <c r="C522" s="141"/>
      <c r="D522" s="141"/>
      <c r="E522" s="141"/>
      <c r="F522" s="141"/>
      <c r="G522" s="141"/>
      <c r="H522" s="141"/>
      <c r="I522" s="141"/>
      <c r="J522" s="141"/>
      <c r="K522" s="141"/>
      <c r="L522" s="141"/>
      <c r="M522" s="141"/>
      <c r="N522" s="141"/>
      <c r="O522" s="141"/>
      <c r="P522" s="141"/>
      <c r="Q522" s="141"/>
      <c r="R522" s="141"/>
      <c r="S522" s="141"/>
      <c r="T522" s="141"/>
      <c r="U522" s="141"/>
    </row>
    <row r="523" spans="1:21" x14ac:dyDescent="0.25">
      <c r="A523" s="141"/>
      <c r="B523" s="141"/>
      <c r="C523" s="141"/>
      <c r="D523" s="141"/>
      <c r="E523" s="141"/>
      <c r="F523" s="141"/>
      <c r="G523" s="141"/>
      <c r="H523" s="141"/>
      <c r="I523" s="141"/>
      <c r="J523" s="141"/>
      <c r="K523" s="141"/>
      <c r="L523" s="141"/>
      <c r="M523" s="141"/>
      <c r="N523" s="141"/>
      <c r="O523" s="141"/>
      <c r="P523" s="141"/>
      <c r="Q523" s="141"/>
      <c r="R523" s="141"/>
      <c r="S523" s="141"/>
      <c r="T523" s="141"/>
      <c r="U523" s="141"/>
    </row>
    <row r="524" spans="1:21" x14ac:dyDescent="0.25">
      <c r="A524" s="141"/>
      <c r="B524" s="141"/>
      <c r="C524" s="141"/>
      <c r="D524" s="141"/>
      <c r="E524" s="141"/>
      <c r="F524" s="141"/>
      <c r="G524" s="141"/>
      <c r="H524" s="141"/>
      <c r="I524" s="141"/>
      <c r="J524" s="141"/>
      <c r="K524" s="141"/>
      <c r="L524" s="141"/>
      <c r="M524" s="141"/>
      <c r="N524" s="141"/>
      <c r="O524" s="141"/>
      <c r="P524" s="141"/>
      <c r="Q524" s="141"/>
      <c r="R524" s="141"/>
      <c r="S524" s="141"/>
      <c r="T524" s="141"/>
      <c r="U524" s="141"/>
    </row>
    <row r="525" spans="1:21" x14ac:dyDescent="0.25">
      <c r="A525" s="141"/>
      <c r="B525" s="141"/>
      <c r="C525" s="141"/>
      <c r="D525" s="141"/>
      <c r="E525" s="141"/>
      <c r="F525" s="141"/>
      <c r="G525" s="141"/>
      <c r="H525" s="141"/>
      <c r="I525" s="141"/>
      <c r="J525" s="141"/>
      <c r="K525" s="141"/>
      <c r="L525" s="141"/>
      <c r="M525" s="141"/>
      <c r="N525" s="141"/>
      <c r="O525" s="141"/>
      <c r="P525" s="141"/>
      <c r="Q525" s="141"/>
      <c r="R525" s="141"/>
      <c r="S525" s="141"/>
      <c r="T525" s="141"/>
      <c r="U525" s="141"/>
    </row>
    <row r="526" spans="1:21" x14ac:dyDescent="0.25">
      <c r="A526" s="141"/>
      <c r="B526" s="141"/>
      <c r="C526" s="141"/>
      <c r="D526" s="141"/>
      <c r="E526" s="141"/>
      <c r="F526" s="141"/>
      <c r="G526" s="141"/>
      <c r="H526" s="141"/>
      <c r="I526" s="141"/>
      <c r="J526" s="141"/>
      <c r="K526" s="141"/>
      <c r="L526" s="141"/>
      <c r="M526" s="141"/>
      <c r="N526" s="141"/>
      <c r="O526" s="141"/>
      <c r="P526" s="141"/>
      <c r="Q526" s="141"/>
      <c r="R526" s="141"/>
      <c r="S526" s="141"/>
      <c r="T526" s="141"/>
      <c r="U526" s="141"/>
    </row>
    <row r="527" spans="1:21" x14ac:dyDescent="0.25">
      <c r="A527" s="141"/>
      <c r="B527" s="141"/>
      <c r="C527" s="141"/>
      <c r="D527" s="141"/>
      <c r="E527" s="141"/>
      <c r="F527" s="141"/>
      <c r="G527" s="141"/>
      <c r="H527" s="141"/>
      <c r="I527" s="141"/>
      <c r="J527" s="141"/>
      <c r="K527" s="141"/>
      <c r="L527" s="141"/>
      <c r="M527" s="141"/>
      <c r="N527" s="141"/>
      <c r="O527" s="141"/>
      <c r="P527" s="141"/>
      <c r="Q527" s="141"/>
      <c r="R527" s="141"/>
      <c r="S527" s="141"/>
      <c r="T527" s="141"/>
      <c r="U527" s="141"/>
    </row>
    <row r="528" spans="1:21" x14ac:dyDescent="0.25">
      <c r="A528" s="141"/>
      <c r="B528" s="141"/>
      <c r="C528" s="141"/>
      <c r="D528" s="141"/>
      <c r="E528" s="141"/>
      <c r="F528" s="141"/>
      <c r="G528" s="141"/>
      <c r="H528" s="141"/>
      <c r="I528" s="141"/>
      <c r="J528" s="141"/>
      <c r="K528" s="141"/>
      <c r="L528" s="141"/>
      <c r="M528" s="141"/>
      <c r="N528" s="141"/>
      <c r="O528" s="141"/>
      <c r="P528" s="141"/>
      <c r="Q528" s="141"/>
      <c r="R528" s="141"/>
      <c r="S528" s="141"/>
      <c r="T528" s="141"/>
      <c r="U528" s="141"/>
    </row>
    <row r="529" spans="1:21" x14ac:dyDescent="0.25">
      <c r="A529" s="141"/>
      <c r="B529" s="141"/>
      <c r="C529" s="141"/>
      <c r="D529" s="141"/>
      <c r="E529" s="141"/>
      <c r="F529" s="141"/>
      <c r="G529" s="141"/>
      <c r="H529" s="141"/>
      <c r="I529" s="141"/>
      <c r="J529" s="141"/>
      <c r="K529" s="141"/>
      <c r="L529" s="141"/>
      <c r="M529" s="141"/>
      <c r="N529" s="141"/>
      <c r="O529" s="141"/>
      <c r="P529" s="141"/>
      <c r="Q529" s="141"/>
      <c r="R529" s="141"/>
      <c r="S529" s="141"/>
      <c r="T529" s="141"/>
      <c r="U529" s="141"/>
    </row>
    <row r="530" spans="1:21" x14ac:dyDescent="0.25">
      <c r="A530" s="141"/>
      <c r="B530" s="141"/>
      <c r="C530" s="141"/>
      <c r="D530" s="141"/>
      <c r="E530" s="141"/>
      <c r="F530" s="141"/>
      <c r="G530" s="141"/>
      <c r="H530" s="141"/>
      <c r="I530" s="141"/>
      <c r="J530" s="141"/>
      <c r="K530" s="141"/>
      <c r="L530" s="141"/>
      <c r="M530" s="141"/>
      <c r="N530" s="141"/>
      <c r="O530" s="141"/>
      <c r="P530" s="141"/>
      <c r="Q530" s="141"/>
      <c r="R530" s="141"/>
      <c r="S530" s="141"/>
      <c r="T530" s="141"/>
      <c r="U530" s="141"/>
    </row>
    <row r="531" spans="1:21" x14ac:dyDescent="0.25">
      <c r="A531" s="141"/>
      <c r="B531" s="141"/>
      <c r="C531" s="141"/>
      <c r="D531" s="141"/>
      <c r="E531" s="141"/>
      <c r="F531" s="141"/>
      <c r="G531" s="141"/>
      <c r="H531" s="141"/>
      <c r="I531" s="141"/>
      <c r="J531" s="141"/>
      <c r="K531" s="141"/>
      <c r="L531" s="141"/>
      <c r="M531" s="141"/>
      <c r="N531" s="141"/>
      <c r="O531" s="141"/>
      <c r="P531" s="141"/>
      <c r="Q531" s="141"/>
      <c r="R531" s="141"/>
      <c r="S531" s="141"/>
      <c r="T531" s="141"/>
      <c r="U531" s="141"/>
    </row>
    <row r="532" spans="1:21" x14ac:dyDescent="0.25">
      <c r="A532" s="141"/>
      <c r="B532" s="141"/>
      <c r="C532" s="141"/>
      <c r="D532" s="141"/>
      <c r="E532" s="141"/>
      <c r="F532" s="141"/>
      <c r="G532" s="141"/>
      <c r="H532" s="141"/>
      <c r="I532" s="141"/>
      <c r="J532" s="141"/>
      <c r="K532" s="141"/>
      <c r="L532" s="141"/>
      <c r="M532" s="141"/>
      <c r="N532" s="141"/>
      <c r="O532" s="141"/>
      <c r="P532" s="141"/>
      <c r="Q532" s="141"/>
      <c r="R532" s="141"/>
      <c r="S532" s="141"/>
      <c r="T532" s="141"/>
      <c r="U532" s="141"/>
    </row>
    <row r="533" spans="1:21" x14ac:dyDescent="0.25">
      <c r="A533" s="141"/>
      <c r="B533" s="141"/>
      <c r="C533" s="141"/>
      <c r="D533" s="141"/>
      <c r="E533" s="141"/>
      <c r="F533" s="141"/>
      <c r="G533" s="141"/>
      <c r="H533" s="141"/>
      <c r="I533" s="141"/>
      <c r="J533" s="141"/>
      <c r="K533" s="141"/>
      <c r="L533" s="141"/>
      <c r="M533" s="141"/>
      <c r="N533" s="141"/>
      <c r="O533" s="141"/>
      <c r="P533" s="141"/>
      <c r="Q533" s="141"/>
      <c r="R533" s="141"/>
      <c r="S533" s="141"/>
      <c r="T533" s="141"/>
      <c r="U533" s="141"/>
    </row>
    <row r="534" spans="1:21" x14ac:dyDescent="0.25">
      <c r="A534" s="141"/>
      <c r="B534" s="141"/>
      <c r="C534" s="141"/>
      <c r="D534" s="141"/>
      <c r="E534" s="141"/>
      <c r="F534" s="141"/>
      <c r="G534" s="141"/>
      <c r="H534" s="141"/>
      <c r="I534" s="141"/>
      <c r="J534" s="141"/>
      <c r="K534" s="141"/>
      <c r="L534" s="141"/>
      <c r="M534" s="141"/>
      <c r="N534" s="141"/>
      <c r="O534" s="141"/>
      <c r="P534" s="141"/>
      <c r="Q534" s="141"/>
      <c r="R534" s="141"/>
      <c r="S534" s="141"/>
      <c r="T534" s="141"/>
      <c r="U534" s="141"/>
    </row>
    <row r="535" spans="1:21" x14ac:dyDescent="0.25">
      <c r="A535" s="141"/>
      <c r="B535" s="141"/>
      <c r="C535" s="141"/>
      <c r="D535" s="141"/>
      <c r="E535" s="141"/>
      <c r="F535" s="141"/>
      <c r="G535" s="141"/>
      <c r="H535" s="141"/>
      <c r="I535" s="141"/>
      <c r="J535" s="141"/>
      <c r="K535" s="141"/>
      <c r="L535" s="141"/>
      <c r="M535" s="141"/>
      <c r="N535" s="141"/>
      <c r="O535" s="141"/>
      <c r="P535" s="141"/>
      <c r="Q535" s="141"/>
      <c r="R535" s="141"/>
      <c r="S535" s="141"/>
      <c r="T535" s="141"/>
      <c r="U535" s="141"/>
    </row>
    <row r="536" spans="1:21" x14ac:dyDescent="0.25">
      <c r="A536" s="141"/>
      <c r="B536" s="141"/>
      <c r="C536" s="141"/>
      <c r="D536" s="141"/>
      <c r="E536" s="141"/>
      <c r="F536" s="141"/>
      <c r="G536" s="141"/>
      <c r="H536" s="141"/>
      <c r="I536" s="141"/>
      <c r="J536" s="141"/>
      <c r="K536" s="141"/>
      <c r="L536" s="141"/>
      <c r="M536" s="141"/>
      <c r="N536" s="141"/>
      <c r="O536" s="141"/>
      <c r="P536" s="141"/>
      <c r="Q536" s="141"/>
      <c r="R536" s="141"/>
      <c r="S536" s="141"/>
      <c r="T536" s="141"/>
      <c r="U536" s="141"/>
    </row>
    <row r="537" spans="1:21" x14ac:dyDescent="0.25">
      <c r="A537" s="141"/>
      <c r="B537" s="141"/>
      <c r="C537" s="141"/>
      <c r="D537" s="141"/>
      <c r="E537" s="141"/>
      <c r="F537" s="141"/>
      <c r="G537" s="141"/>
      <c r="H537" s="141"/>
      <c r="I537" s="141"/>
      <c r="J537" s="141"/>
      <c r="K537" s="141"/>
      <c r="L537" s="141"/>
      <c r="M537" s="141"/>
      <c r="N537" s="141"/>
      <c r="O537" s="141"/>
      <c r="P537" s="141"/>
      <c r="Q537" s="141"/>
      <c r="R537" s="141"/>
      <c r="S537" s="141"/>
      <c r="T537" s="141"/>
      <c r="U537" s="141"/>
    </row>
    <row r="538" spans="1:21" x14ac:dyDescent="0.25">
      <c r="A538" s="141"/>
      <c r="B538" s="141"/>
      <c r="C538" s="141"/>
      <c r="D538" s="141"/>
      <c r="E538" s="141"/>
      <c r="F538" s="141"/>
      <c r="G538" s="141"/>
      <c r="H538" s="141"/>
      <c r="I538" s="141"/>
      <c r="J538" s="141"/>
      <c r="K538" s="141"/>
      <c r="L538" s="141"/>
      <c r="M538" s="141"/>
      <c r="N538" s="141"/>
      <c r="O538" s="141"/>
      <c r="P538" s="141"/>
      <c r="Q538" s="141"/>
      <c r="R538" s="141"/>
      <c r="S538" s="141"/>
      <c r="T538" s="141"/>
      <c r="U538" s="141"/>
    </row>
    <row r="539" spans="1:21" x14ac:dyDescent="0.25">
      <c r="A539" s="141"/>
      <c r="B539" s="141"/>
      <c r="C539" s="141"/>
      <c r="D539" s="141"/>
      <c r="E539" s="141"/>
      <c r="F539" s="141"/>
      <c r="G539" s="141"/>
      <c r="H539" s="141"/>
      <c r="I539" s="141"/>
      <c r="J539" s="141"/>
      <c r="K539" s="141"/>
      <c r="L539" s="141"/>
      <c r="M539" s="141"/>
      <c r="N539" s="141"/>
      <c r="O539" s="141"/>
      <c r="P539" s="141"/>
      <c r="Q539" s="141"/>
      <c r="R539" s="141"/>
      <c r="S539" s="141"/>
      <c r="T539" s="141"/>
      <c r="U539" s="141"/>
    </row>
    <row r="540" spans="1:21" x14ac:dyDescent="0.25">
      <c r="A540" s="141"/>
      <c r="B540" s="141"/>
      <c r="C540" s="141"/>
      <c r="D540" s="141"/>
      <c r="E540" s="141"/>
      <c r="F540" s="141"/>
      <c r="G540" s="141"/>
      <c r="H540" s="141"/>
      <c r="I540" s="141"/>
      <c r="J540" s="141"/>
      <c r="K540" s="141"/>
      <c r="L540" s="141"/>
      <c r="M540" s="141"/>
      <c r="N540" s="141"/>
      <c r="O540" s="141"/>
      <c r="P540" s="141"/>
      <c r="Q540" s="141"/>
      <c r="R540" s="141"/>
      <c r="S540" s="141"/>
      <c r="T540" s="141"/>
      <c r="U540" s="141"/>
    </row>
    <row r="541" spans="1:21" x14ac:dyDescent="0.25">
      <c r="A541" s="141"/>
      <c r="B541" s="141"/>
      <c r="C541" s="141"/>
      <c r="D541" s="141"/>
      <c r="E541" s="141"/>
      <c r="F541" s="141"/>
      <c r="G541" s="141"/>
      <c r="H541" s="141"/>
      <c r="I541" s="141"/>
      <c r="J541" s="141"/>
      <c r="K541" s="141"/>
      <c r="L541" s="141"/>
      <c r="M541" s="141"/>
      <c r="N541" s="141"/>
      <c r="O541" s="141"/>
      <c r="P541" s="141"/>
      <c r="Q541" s="141"/>
      <c r="R541" s="141"/>
      <c r="S541" s="141"/>
      <c r="T541" s="141"/>
      <c r="U541" s="141"/>
    </row>
    <row r="542" spans="1:21" x14ac:dyDescent="0.25">
      <c r="A542" s="141"/>
      <c r="B542" s="141"/>
      <c r="C542" s="141"/>
      <c r="D542" s="141"/>
      <c r="E542" s="141"/>
      <c r="F542" s="141"/>
      <c r="G542" s="141"/>
      <c r="H542" s="141"/>
      <c r="I542" s="141"/>
      <c r="J542" s="141"/>
      <c r="K542" s="141"/>
      <c r="L542" s="141"/>
      <c r="M542" s="141"/>
      <c r="N542" s="141"/>
      <c r="O542" s="141"/>
      <c r="P542" s="141"/>
      <c r="Q542" s="141"/>
      <c r="R542" s="141"/>
      <c r="S542" s="141"/>
      <c r="T542" s="141"/>
      <c r="U542" s="141"/>
    </row>
    <row r="543" spans="1:21" x14ac:dyDescent="0.25">
      <c r="A543" s="141"/>
      <c r="B543" s="141"/>
      <c r="C543" s="141"/>
      <c r="D543" s="141"/>
      <c r="E543" s="141"/>
      <c r="F543" s="141"/>
      <c r="G543" s="141"/>
      <c r="H543" s="141"/>
      <c r="I543" s="141"/>
      <c r="J543" s="141"/>
      <c r="K543" s="141"/>
      <c r="L543" s="141"/>
      <c r="M543" s="141"/>
      <c r="N543" s="141"/>
      <c r="O543" s="141"/>
      <c r="P543" s="141"/>
      <c r="Q543" s="141"/>
      <c r="R543" s="141"/>
      <c r="S543" s="141"/>
      <c r="T543" s="141"/>
      <c r="U543" s="141"/>
    </row>
    <row r="544" spans="1:21" x14ac:dyDescent="0.25">
      <c r="A544" s="141"/>
      <c r="B544" s="141"/>
      <c r="C544" s="141"/>
      <c r="D544" s="141"/>
      <c r="E544" s="141"/>
      <c r="F544" s="141"/>
      <c r="G544" s="141"/>
      <c r="H544" s="141"/>
      <c r="I544" s="141"/>
      <c r="J544" s="141"/>
      <c r="K544" s="141"/>
      <c r="L544" s="141"/>
      <c r="M544" s="141"/>
      <c r="N544" s="141"/>
      <c r="O544" s="141"/>
      <c r="P544" s="141"/>
      <c r="Q544" s="141"/>
      <c r="R544" s="141"/>
      <c r="S544" s="141"/>
      <c r="T544" s="141"/>
      <c r="U544" s="141"/>
    </row>
    <row r="545" spans="1:21" x14ac:dyDescent="0.25">
      <c r="A545" s="141"/>
      <c r="B545" s="141"/>
      <c r="C545" s="141"/>
      <c r="D545" s="141"/>
      <c r="E545" s="141"/>
      <c r="F545" s="141"/>
      <c r="G545" s="141"/>
      <c r="H545" s="141"/>
      <c r="I545" s="141"/>
      <c r="J545" s="141"/>
      <c r="K545" s="141"/>
      <c r="L545" s="141"/>
      <c r="M545" s="141"/>
      <c r="N545" s="141"/>
      <c r="O545" s="141"/>
      <c r="P545" s="141"/>
      <c r="Q545" s="141"/>
      <c r="R545" s="141"/>
      <c r="S545" s="141"/>
      <c r="T545" s="141"/>
      <c r="U545" s="141"/>
    </row>
    <row r="546" spans="1:21" x14ac:dyDescent="0.25">
      <c r="A546" s="141"/>
      <c r="B546" s="141"/>
      <c r="C546" s="141"/>
      <c r="D546" s="141"/>
      <c r="E546" s="141"/>
      <c r="F546" s="141"/>
      <c r="G546" s="141"/>
      <c r="H546" s="141"/>
      <c r="I546" s="141"/>
      <c r="J546" s="141"/>
      <c r="K546" s="141"/>
      <c r="L546" s="141"/>
      <c r="M546" s="141"/>
      <c r="N546" s="141"/>
      <c r="O546" s="141"/>
      <c r="P546" s="141"/>
      <c r="Q546" s="141"/>
      <c r="R546" s="141"/>
      <c r="S546" s="141"/>
      <c r="T546" s="141"/>
      <c r="U546" s="141"/>
    </row>
    <row r="547" spans="1:21" x14ac:dyDescent="0.25">
      <c r="A547" s="141"/>
      <c r="B547" s="141"/>
      <c r="C547" s="141"/>
      <c r="D547" s="141"/>
      <c r="E547" s="141"/>
      <c r="F547" s="141"/>
      <c r="G547" s="141"/>
      <c r="H547" s="141"/>
      <c r="I547" s="141"/>
      <c r="J547" s="141"/>
      <c r="K547" s="141"/>
      <c r="L547" s="141"/>
      <c r="M547" s="141"/>
      <c r="N547" s="141"/>
      <c r="O547" s="141"/>
      <c r="P547" s="141"/>
      <c r="Q547" s="141"/>
      <c r="R547" s="141"/>
      <c r="S547" s="141"/>
      <c r="T547" s="141"/>
      <c r="U547" s="141"/>
    </row>
    <row r="548" spans="1:21" x14ac:dyDescent="0.25">
      <c r="A548" s="141"/>
      <c r="B548" s="141"/>
      <c r="C548" s="141"/>
      <c r="D548" s="141"/>
      <c r="E548" s="141"/>
      <c r="F548" s="141"/>
      <c r="G548" s="141"/>
      <c r="H548" s="141"/>
      <c r="I548" s="141"/>
      <c r="J548" s="141"/>
      <c r="K548" s="141"/>
      <c r="L548" s="141"/>
      <c r="M548" s="141"/>
      <c r="N548" s="141"/>
      <c r="O548" s="141"/>
      <c r="P548" s="141"/>
      <c r="Q548" s="141"/>
      <c r="R548" s="141"/>
      <c r="S548" s="141"/>
      <c r="T548" s="141"/>
      <c r="U548" s="141"/>
    </row>
    <row r="549" spans="1:21" x14ac:dyDescent="0.25">
      <c r="A549" s="141"/>
      <c r="B549" s="141"/>
      <c r="C549" s="141"/>
      <c r="D549" s="141"/>
      <c r="E549" s="141"/>
      <c r="F549" s="141"/>
      <c r="G549" s="141"/>
      <c r="H549" s="141"/>
      <c r="I549" s="141"/>
      <c r="J549" s="141"/>
      <c r="K549" s="141"/>
      <c r="L549" s="141"/>
      <c r="M549" s="141"/>
      <c r="N549" s="141"/>
      <c r="O549" s="141"/>
      <c r="P549" s="141"/>
      <c r="Q549" s="141"/>
      <c r="R549" s="141"/>
      <c r="S549" s="141"/>
      <c r="T549" s="141"/>
      <c r="U549" s="141"/>
    </row>
    <row r="550" spans="1:21" x14ac:dyDescent="0.25">
      <c r="A550" s="141"/>
      <c r="B550" s="141"/>
      <c r="C550" s="141"/>
      <c r="D550" s="141"/>
      <c r="E550" s="141"/>
      <c r="F550" s="141"/>
      <c r="G550" s="141"/>
      <c r="H550" s="141"/>
      <c r="I550" s="141"/>
      <c r="J550" s="141"/>
      <c r="K550" s="141"/>
      <c r="L550" s="141"/>
      <c r="M550" s="141"/>
      <c r="N550" s="141"/>
      <c r="O550" s="141"/>
      <c r="P550" s="141"/>
      <c r="Q550" s="141"/>
      <c r="R550" s="141"/>
      <c r="S550" s="141"/>
      <c r="T550" s="141"/>
      <c r="U550" s="141"/>
    </row>
    <row r="551" spans="1:21" x14ac:dyDescent="0.25">
      <c r="A551" s="141"/>
      <c r="B551" s="141"/>
      <c r="C551" s="141"/>
      <c r="D551" s="141"/>
      <c r="E551" s="141"/>
      <c r="F551" s="141"/>
      <c r="G551" s="141"/>
      <c r="H551" s="141"/>
      <c r="I551" s="141"/>
      <c r="J551" s="141"/>
      <c r="K551" s="141"/>
      <c r="L551" s="141"/>
      <c r="M551" s="141"/>
      <c r="N551" s="141"/>
      <c r="O551" s="141"/>
      <c r="P551" s="141"/>
      <c r="Q551" s="141"/>
      <c r="R551" s="141"/>
      <c r="S551" s="141"/>
      <c r="T551" s="141"/>
      <c r="U551" s="141"/>
    </row>
    <row r="552" spans="1:21" x14ac:dyDescent="0.25">
      <c r="A552" s="141"/>
      <c r="B552" s="141"/>
      <c r="C552" s="141"/>
      <c r="D552" s="141"/>
      <c r="E552" s="141"/>
      <c r="F552" s="141"/>
      <c r="G552" s="141"/>
      <c r="H552" s="141"/>
      <c r="I552" s="141"/>
      <c r="J552" s="141"/>
      <c r="K552" s="141"/>
      <c r="L552" s="141"/>
      <c r="M552" s="141"/>
      <c r="N552" s="141"/>
      <c r="O552" s="141"/>
      <c r="P552" s="141"/>
      <c r="Q552" s="141"/>
      <c r="R552" s="141"/>
      <c r="S552" s="141"/>
      <c r="T552" s="141"/>
      <c r="U552" s="141"/>
    </row>
    <row r="553" spans="1:21" x14ac:dyDescent="0.25">
      <c r="A553" s="141"/>
      <c r="B553" s="141"/>
      <c r="C553" s="141"/>
      <c r="D553" s="141"/>
      <c r="E553" s="141"/>
      <c r="F553" s="141"/>
      <c r="G553" s="141"/>
      <c r="H553" s="141"/>
      <c r="I553" s="141"/>
      <c r="J553" s="141"/>
      <c r="K553" s="141"/>
      <c r="L553" s="141"/>
      <c r="M553" s="141"/>
      <c r="N553" s="141"/>
      <c r="O553" s="141"/>
      <c r="P553" s="141"/>
      <c r="Q553" s="141"/>
      <c r="R553" s="141"/>
      <c r="S553" s="141"/>
      <c r="T553" s="141"/>
      <c r="U553" s="141"/>
    </row>
    <row r="554" spans="1:21" x14ac:dyDescent="0.25">
      <c r="A554" s="141"/>
      <c r="B554" s="141"/>
      <c r="C554" s="141"/>
      <c r="D554" s="141"/>
      <c r="E554" s="141"/>
      <c r="F554" s="141"/>
      <c r="G554" s="141"/>
      <c r="H554" s="141"/>
      <c r="I554" s="141"/>
      <c r="J554" s="141"/>
      <c r="K554" s="141"/>
      <c r="L554" s="141"/>
      <c r="M554" s="141"/>
      <c r="N554" s="141"/>
      <c r="O554" s="141"/>
      <c r="P554" s="141"/>
      <c r="Q554" s="141"/>
      <c r="R554" s="141"/>
      <c r="S554" s="141"/>
      <c r="T554" s="141"/>
      <c r="U554" s="141"/>
    </row>
    <row r="555" spans="1:21" x14ac:dyDescent="0.25">
      <c r="A555" s="141"/>
      <c r="B555" s="141"/>
      <c r="C555" s="141"/>
      <c r="D555" s="141"/>
      <c r="E555" s="141"/>
      <c r="F555" s="141"/>
      <c r="G555" s="141"/>
      <c r="H555" s="141"/>
      <c r="I555" s="141"/>
      <c r="J555" s="141"/>
      <c r="K555" s="141"/>
      <c r="L555" s="141"/>
      <c r="M555" s="141"/>
      <c r="N555" s="141"/>
      <c r="O555" s="141"/>
      <c r="P555" s="141"/>
      <c r="Q555" s="141"/>
      <c r="R555" s="141"/>
      <c r="S555" s="141"/>
      <c r="T555" s="141"/>
      <c r="U555" s="141"/>
    </row>
    <row r="556" spans="1:21" x14ac:dyDescent="0.25">
      <c r="A556" s="141"/>
      <c r="B556" s="141"/>
      <c r="C556" s="141"/>
      <c r="D556" s="141"/>
      <c r="E556" s="141"/>
      <c r="F556" s="141"/>
      <c r="G556" s="141"/>
      <c r="H556" s="141"/>
      <c r="I556" s="141"/>
      <c r="J556" s="141"/>
      <c r="K556" s="141"/>
      <c r="L556" s="141"/>
      <c r="M556" s="141"/>
      <c r="N556" s="141"/>
      <c r="O556" s="141"/>
      <c r="P556" s="141"/>
      <c r="Q556" s="141"/>
      <c r="R556" s="141"/>
      <c r="S556" s="141"/>
      <c r="T556" s="141"/>
      <c r="U556" s="141"/>
    </row>
    <row r="557" spans="1:21" x14ac:dyDescent="0.25">
      <c r="A557" s="141"/>
      <c r="B557" s="141"/>
      <c r="C557" s="141"/>
      <c r="D557" s="141"/>
      <c r="E557" s="141"/>
      <c r="F557" s="141"/>
      <c r="G557" s="141"/>
      <c r="H557" s="141"/>
      <c r="I557" s="141"/>
      <c r="J557" s="141"/>
      <c r="K557" s="141"/>
      <c r="L557" s="141"/>
      <c r="M557" s="141"/>
      <c r="N557" s="141"/>
      <c r="O557" s="141"/>
      <c r="P557" s="141"/>
      <c r="Q557" s="141"/>
      <c r="R557" s="141"/>
      <c r="S557" s="141"/>
      <c r="T557" s="141"/>
      <c r="U557" s="141"/>
    </row>
    <row r="558" spans="1:21" x14ac:dyDescent="0.25">
      <c r="A558" s="141"/>
      <c r="B558" s="141"/>
      <c r="C558" s="141"/>
      <c r="D558" s="141"/>
      <c r="E558" s="141"/>
      <c r="F558" s="141"/>
      <c r="G558" s="141"/>
      <c r="H558" s="141"/>
      <c r="I558" s="141"/>
      <c r="J558" s="141"/>
      <c r="K558" s="141"/>
      <c r="L558" s="141"/>
      <c r="M558" s="141"/>
      <c r="N558" s="141"/>
      <c r="O558" s="141"/>
      <c r="P558" s="141"/>
      <c r="Q558" s="141"/>
      <c r="R558" s="141"/>
      <c r="S558" s="141"/>
      <c r="T558" s="141"/>
      <c r="U558" s="141"/>
    </row>
    <row r="559" spans="1:21" x14ac:dyDescent="0.25">
      <c r="A559" s="141"/>
      <c r="B559" s="141"/>
      <c r="C559" s="141"/>
      <c r="D559" s="141"/>
      <c r="E559" s="141"/>
      <c r="F559" s="141"/>
      <c r="G559" s="141"/>
      <c r="H559" s="141"/>
      <c r="I559" s="141"/>
      <c r="J559" s="141"/>
      <c r="K559" s="141"/>
      <c r="L559" s="141"/>
      <c r="M559" s="141"/>
      <c r="N559" s="141"/>
      <c r="O559" s="141"/>
      <c r="P559" s="141"/>
      <c r="Q559" s="141"/>
      <c r="R559" s="141"/>
      <c r="S559" s="141"/>
      <c r="T559" s="141"/>
      <c r="U559" s="141"/>
    </row>
    <row r="560" spans="1:21" x14ac:dyDescent="0.25">
      <c r="A560" s="141"/>
      <c r="B560" s="141"/>
      <c r="C560" s="141"/>
      <c r="D560" s="141"/>
      <c r="E560" s="141"/>
      <c r="F560" s="141"/>
      <c r="G560" s="141"/>
      <c r="H560" s="141"/>
      <c r="I560" s="141"/>
      <c r="J560" s="141"/>
      <c r="K560" s="141"/>
      <c r="L560" s="141"/>
      <c r="M560" s="141"/>
      <c r="N560" s="141"/>
      <c r="O560" s="141"/>
      <c r="P560" s="141"/>
      <c r="Q560" s="141"/>
      <c r="R560" s="141"/>
      <c r="S560" s="141"/>
      <c r="T560" s="141"/>
      <c r="U560" s="141"/>
    </row>
    <row r="561" spans="1:21" x14ac:dyDescent="0.25">
      <c r="A561" s="141"/>
      <c r="B561" s="141"/>
      <c r="C561" s="141"/>
      <c r="D561" s="141"/>
      <c r="E561" s="141"/>
      <c r="F561" s="141"/>
      <c r="G561" s="141"/>
      <c r="H561" s="141"/>
      <c r="I561" s="141"/>
      <c r="J561" s="141"/>
      <c r="K561" s="141"/>
      <c r="L561" s="141"/>
      <c r="M561" s="141"/>
      <c r="N561" s="141"/>
      <c r="O561" s="141"/>
      <c r="P561" s="141"/>
      <c r="Q561" s="141"/>
      <c r="R561" s="141"/>
      <c r="S561" s="141"/>
      <c r="T561" s="141"/>
      <c r="U561" s="141"/>
    </row>
    <row r="562" spans="1:21" x14ac:dyDescent="0.25">
      <c r="A562" s="141"/>
      <c r="B562" s="141"/>
      <c r="C562" s="141"/>
      <c r="D562" s="141"/>
      <c r="E562" s="141"/>
      <c r="F562" s="141"/>
      <c r="G562" s="141"/>
      <c r="H562" s="141"/>
      <c r="I562" s="141"/>
      <c r="J562" s="141"/>
      <c r="K562" s="141"/>
      <c r="L562" s="141"/>
      <c r="M562" s="141"/>
      <c r="N562" s="141"/>
      <c r="O562" s="141"/>
      <c r="P562" s="141"/>
      <c r="Q562" s="141"/>
      <c r="R562" s="141"/>
      <c r="S562" s="141"/>
      <c r="T562" s="141"/>
      <c r="U562" s="141"/>
    </row>
    <row r="563" spans="1:21" x14ac:dyDescent="0.25">
      <c r="A563" s="141"/>
      <c r="B563" s="141"/>
      <c r="C563" s="141"/>
      <c r="D563" s="141"/>
      <c r="E563" s="141"/>
      <c r="F563" s="141"/>
      <c r="G563" s="141"/>
      <c r="H563" s="141"/>
      <c r="I563" s="141"/>
      <c r="J563" s="141"/>
      <c r="K563" s="141"/>
      <c r="L563" s="141"/>
      <c r="M563" s="141"/>
      <c r="N563" s="141"/>
      <c r="O563" s="141"/>
      <c r="P563" s="141"/>
      <c r="Q563" s="141"/>
      <c r="R563" s="141"/>
      <c r="S563" s="141"/>
      <c r="T563" s="141"/>
      <c r="U563" s="141"/>
    </row>
    <row r="564" spans="1:21" x14ac:dyDescent="0.25">
      <c r="A564" s="141"/>
      <c r="B564" s="141"/>
      <c r="C564" s="141"/>
      <c r="D564" s="141"/>
      <c r="E564" s="141"/>
      <c r="F564" s="141"/>
      <c r="G564" s="141"/>
      <c r="H564" s="141"/>
      <c r="I564" s="141"/>
      <c r="J564" s="141"/>
      <c r="K564" s="141"/>
      <c r="L564" s="141"/>
      <c r="M564" s="141"/>
      <c r="N564" s="141"/>
      <c r="O564" s="141"/>
      <c r="P564" s="141"/>
      <c r="Q564" s="141"/>
      <c r="R564" s="141"/>
      <c r="S564" s="141"/>
      <c r="T564" s="141"/>
      <c r="U564" s="141"/>
    </row>
    <row r="565" spans="1:21" x14ac:dyDescent="0.25">
      <c r="A565" s="141"/>
      <c r="B565" s="141"/>
      <c r="C565" s="141"/>
      <c r="D565" s="141"/>
      <c r="E565" s="141"/>
      <c r="F565" s="141"/>
      <c r="G565" s="141"/>
      <c r="H565" s="141"/>
      <c r="I565" s="141"/>
      <c r="J565" s="141"/>
      <c r="K565" s="141"/>
      <c r="L565" s="141"/>
      <c r="M565" s="141"/>
      <c r="N565" s="141"/>
      <c r="O565" s="141"/>
      <c r="P565" s="141"/>
      <c r="Q565" s="141"/>
      <c r="R565" s="141"/>
      <c r="S565" s="141"/>
      <c r="T565" s="141"/>
      <c r="U565" s="141"/>
    </row>
    <row r="566" spans="1:21" x14ac:dyDescent="0.25">
      <c r="A566" s="141"/>
      <c r="B566" s="141"/>
      <c r="C566" s="141"/>
      <c r="D566" s="141"/>
      <c r="E566" s="141"/>
      <c r="F566" s="141"/>
      <c r="G566" s="141"/>
      <c r="H566" s="141"/>
      <c r="I566" s="141"/>
      <c r="J566" s="141"/>
      <c r="K566" s="141"/>
      <c r="L566" s="141"/>
      <c r="M566" s="141"/>
      <c r="N566" s="141"/>
      <c r="O566" s="141"/>
      <c r="P566" s="141"/>
      <c r="Q566" s="141"/>
      <c r="R566" s="141"/>
      <c r="S566" s="141"/>
      <c r="T566" s="141"/>
      <c r="U566" s="141"/>
    </row>
    <row r="567" spans="1:21" x14ac:dyDescent="0.25">
      <c r="A567" s="141"/>
      <c r="B567" s="141"/>
      <c r="C567" s="141"/>
      <c r="D567" s="141"/>
      <c r="E567" s="141"/>
      <c r="F567" s="141"/>
      <c r="G567" s="141"/>
      <c r="H567" s="141"/>
      <c r="I567" s="141"/>
      <c r="J567" s="141"/>
      <c r="K567" s="141"/>
      <c r="L567" s="141"/>
      <c r="M567" s="141"/>
      <c r="N567" s="141"/>
      <c r="O567" s="141"/>
      <c r="P567" s="141"/>
      <c r="Q567" s="141"/>
      <c r="R567" s="141"/>
      <c r="S567" s="141"/>
      <c r="T567" s="141"/>
      <c r="U567" s="141"/>
    </row>
    <row r="568" spans="1:21" x14ac:dyDescent="0.25">
      <c r="A568" s="141"/>
      <c r="B568" s="141"/>
      <c r="C568" s="141"/>
      <c r="D568" s="141"/>
      <c r="E568" s="141"/>
      <c r="F568" s="141"/>
      <c r="G568" s="141"/>
      <c r="H568" s="141"/>
      <c r="I568" s="141"/>
      <c r="J568" s="141"/>
      <c r="K568" s="141"/>
      <c r="L568" s="141"/>
      <c r="M568" s="141"/>
      <c r="N568" s="141"/>
      <c r="O568" s="141"/>
      <c r="P568" s="141"/>
      <c r="Q568" s="141"/>
      <c r="R568" s="141"/>
      <c r="S568" s="141"/>
      <c r="T568" s="141"/>
      <c r="U568" s="141"/>
    </row>
    <row r="569" spans="1:21" x14ac:dyDescent="0.25">
      <c r="A569" s="141"/>
      <c r="B569" s="141"/>
      <c r="C569" s="141"/>
      <c r="D569" s="141"/>
      <c r="E569" s="141"/>
      <c r="F569" s="141"/>
      <c r="G569" s="141"/>
      <c r="H569" s="141"/>
      <c r="I569" s="141"/>
      <c r="J569" s="141"/>
      <c r="K569" s="141"/>
      <c r="L569" s="141"/>
      <c r="M569" s="141"/>
      <c r="N569" s="141"/>
      <c r="O569" s="141"/>
      <c r="P569" s="141"/>
      <c r="Q569" s="141"/>
      <c r="R569" s="141"/>
      <c r="S569" s="141"/>
      <c r="T569" s="141"/>
      <c r="U569" s="141"/>
    </row>
    <row r="570" spans="1:21" x14ac:dyDescent="0.25">
      <c r="A570" s="141"/>
      <c r="B570" s="141"/>
      <c r="C570" s="141"/>
      <c r="D570" s="141"/>
      <c r="E570" s="141"/>
      <c r="F570" s="141"/>
      <c r="G570" s="141"/>
      <c r="H570" s="141"/>
      <c r="I570" s="141"/>
      <c r="J570" s="141"/>
      <c r="K570" s="141"/>
      <c r="L570" s="141"/>
      <c r="M570" s="141"/>
      <c r="N570" s="141"/>
      <c r="O570" s="141"/>
      <c r="P570" s="141"/>
      <c r="Q570" s="141"/>
      <c r="R570" s="141"/>
      <c r="S570" s="141"/>
      <c r="T570" s="141"/>
      <c r="U570" s="141"/>
    </row>
    <row r="571" spans="1:21" x14ac:dyDescent="0.25">
      <c r="A571" s="141"/>
      <c r="B571" s="141"/>
      <c r="C571" s="141"/>
      <c r="D571" s="141"/>
      <c r="E571" s="141"/>
      <c r="F571" s="141"/>
      <c r="G571" s="141"/>
      <c r="H571" s="141"/>
      <c r="I571" s="141"/>
      <c r="J571" s="141"/>
      <c r="K571" s="141"/>
      <c r="L571" s="141"/>
      <c r="M571" s="141"/>
      <c r="N571" s="141"/>
      <c r="O571" s="141"/>
      <c r="P571" s="141"/>
      <c r="Q571" s="141"/>
      <c r="R571" s="141"/>
      <c r="S571" s="141"/>
      <c r="T571" s="141"/>
      <c r="U571" s="141"/>
    </row>
    <row r="572" spans="1:21" x14ac:dyDescent="0.25">
      <c r="A572" s="141"/>
      <c r="B572" s="141"/>
      <c r="C572" s="141"/>
      <c r="D572" s="141"/>
      <c r="E572" s="141"/>
      <c r="F572" s="141"/>
      <c r="G572" s="141"/>
      <c r="H572" s="141"/>
      <c r="I572" s="141"/>
      <c r="J572" s="141"/>
      <c r="K572" s="141"/>
      <c r="L572" s="141"/>
      <c r="M572" s="141"/>
      <c r="N572" s="141"/>
      <c r="O572" s="141"/>
      <c r="P572" s="141"/>
      <c r="Q572" s="141"/>
      <c r="R572" s="141"/>
      <c r="S572" s="141"/>
      <c r="T572" s="141"/>
      <c r="U572" s="141"/>
    </row>
    <row r="573" spans="1:21" x14ac:dyDescent="0.25">
      <c r="A573" s="141"/>
      <c r="B573" s="141"/>
      <c r="C573" s="141"/>
      <c r="D573" s="141"/>
      <c r="E573" s="141"/>
      <c r="F573" s="141"/>
      <c r="G573" s="141"/>
      <c r="H573" s="141"/>
      <c r="I573" s="141"/>
      <c r="J573" s="141"/>
      <c r="K573" s="141"/>
      <c r="L573" s="141"/>
      <c r="M573" s="141"/>
      <c r="N573" s="141"/>
      <c r="O573" s="141"/>
      <c r="P573" s="141"/>
      <c r="Q573" s="141"/>
      <c r="R573" s="141"/>
      <c r="S573" s="141"/>
      <c r="T573" s="141"/>
      <c r="U573" s="141"/>
    </row>
    <row r="574" spans="1:21" x14ac:dyDescent="0.25">
      <c r="A574" s="141"/>
      <c r="B574" s="141"/>
      <c r="C574" s="141"/>
      <c r="D574" s="141"/>
      <c r="E574" s="141"/>
      <c r="F574" s="141"/>
      <c r="G574" s="141"/>
      <c r="H574" s="141"/>
      <c r="I574" s="141"/>
      <c r="J574" s="141"/>
      <c r="K574" s="141"/>
      <c r="L574" s="141"/>
      <c r="M574" s="141"/>
      <c r="N574" s="141"/>
      <c r="O574" s="141"/>
      <c r="P574" s="141"/>
      <c r="Q574" s="141"/>
      <c r="R574" s="141"/>
      <c r="S574" s="141"/>
      <c r="T574" s="141"/>
      <c r="U574" s="141"/>
    </row>
    <row r="575" spans="1:21" x14ac:dyDescent="0.25">
      <c r="A575" s="141"/>
      <c r="B575" s="141"/>
      <c r="C575" s="141"/>
      <c r="D575" s="141"/>
      <c r="E575" s="141"/>
      <c r="F575" s="141"/>
      <c r="G575" s="141"/>
      <c r="H575" s="141"/>
      <c r="I575" s="141"/>
      <c r="J575" s="141"/>
      <c r="K575" s="141"/>
      <c r="L575" s="141"/>
      <c r="M575" s="141"/>
      <c r="N575" s="141"/>
      <c r="O575" s="141"/>
      <c r="P575" s="141"/>
      <c r="Q575" s="141"/>
      <c r="R575" s="141"/>
      <c r="S575" s="141"/>
      <c r="T575" s="141"/>
      <c r="U575" s="141"/>
    </row>
    <row r="576" spans="1:21" x14ac:dyDescent="0.25">
      <c r="A576" s="141"/>
      <c r="B576" s="141"/>
      <c r="C576" s="141"/>
      <c r="D576" s="141"/>
      <c r="E576" s="141"/>
      <c r="F576" s="141"/>
      <c r="G576" s="141"/>
      <c r="H576" s="141"/>
      <c r="I576" s="141"/>
      <c r="J576" s="141"/>
      <c r="K576" s="141"/>
      <c r="L576" s="141"/>
      <c r="M576" s="141"/>
      <c r="N576" s="141"/>
      <c r="O576" s="141"/>
      <c r="P576" s="141"/>
      <c r="Q576" s="141"/>
      <c r="R576" s="141"/>
      <c r="S576" s="141"/>
      <c r="T576" s="141"/>
      <c r="U576" s="141"/>
    </row>
    <row r="577" spans="1:21" x14ac:dyDescent="0.25">
      <c r="A577" s="141"/>
      <c r="B577" s="141"/>
      <c r="C577" s="141"/>
      <c r="D577" s="141"/>
      <c r="E577" s="141"/>
      <c r="F577" s="141"/>
      <c r="G577" s="141"/>
      <c r="H577" s="141"/>
      <c r="I577" s="141"/>
      <c r="J577" s="141"/>
      <c r="K577" s="141"/>
      <c r="L577" s="141"/>
      <c r="M577" s="141"/>
      <c r="N577" s="141"/>
      <c r="O577" s="141"/>
      <c r="P577" s="141"/>
      <c r="Q577" s="141"/>
      <c r="R577" s="141"/>
      <c r="S577" s="141"/>
      <c r="T577" s="141"/>
      <c r="U577" s="141"/>
    </row>
    <row r="578" spans="1:21" x14ac:dyDescent="0.25">
      <c r="A578" s="141"/>
      <c r="B578" s="141"/>
      <c r="C578" s="141"/>
      <c r="D578" s="141"/>
      <c r="E578" s="141"/>
      <c r="F578" s="141"/>
      <c r="G578" s="141"/>
      <c r="H578" s="141"/>
      <c r="I578" s="141"/>
      <c r="J578" s="141"/>
      <c r="K578" s="141"/>
      <c r="L578" s="141"/>
      <c r="M578" s="141"/>
      <c r="N578" s="141"/>
      <c r="O578" s="141"/>
      <c r="P578" s="141"/>
      <c r="Q578" s="141"/>
      <c r="R578" s="141"/>
      <c r="S578" s="141"/>
      <c r="T578" s="141"/>
      <c r="U578" s="141"/>
    </row>
    <row r="579" spans="1:21" x14ac:dyDescent="0.25">
      <c r="A579" s="141"/>
      <c r="B579" s="141"/>
      <c r="C579" s="141"/>
      <c r="D579" s="141"/>
      <c r="E579" s="141"/>
      <c r="F579" s="141"/>
      <c r="G579" s="141"/>
      <c r="H579" s="141"/>
      <c r="I579" s="141"/>
      <c r="J579" s="141"/>
      <c r="K579" s="141"/>
      <c r="L579" s="141"/>
      <c r="M579" s="141"/>
      <c r="N579" s="141"/>
      <c r="O579" s="141"/>
      <c r="P579" s="141"/>
      <c r="Q579" s="141"/>
      <c r="R579" s="141"/>
      <c r="S579" s="141"/>
      <c r="T579" s="141"/>
      <c r="U579" s="141"/>
    </row>
    <row r="580" spans="1:21" x14ac:dyDescent="0.25">
      <c r="A580" s="141"/>
      <c r="B580" s="141"/>
      <c r="C580" s="141"/>
      <c r="D580" s="141"/>
      <c r="E580" s="141"/>
      <c r="F580" s="141"/>
      <c r="G580" s="141"/>
      <c r="H580" s="141"/>
      <c r="I580" s="141"/>
      <c r="J580" s="141"/>
      <c r="K580" s="141"/>
      <c r="L580" s="141"/>
      <c r="M580" s="141"/>
      <c r="N580" s="141"/>
      <c r="O580" s="141"/>
      <c r="P580" s="141"/>
      <c r="Q580" s="141"/>
      <c r="R580" s="141"/>
      <c r="S580" s="141"/>
      <c r="T580" s="141"/>
      <c r="U580" s="141"/>
    </row>
    <row r="581" spans="1:21" x14ac:dyDescent="0.25">
      <c r="A581" s="141"/>
      <c r="B581" s="141"/>
      <c r="C581" s="141"/>
      <c r="D581" s="141"/>
      <c r="E581" s="141"/>
      <c r="F581" s="141"/>
      <c r="G581" s="141"/>
      <c r="H581" s="141"/>
      <c r="I581" s="141"/>
      <c r="J581" s="141"/>
      <c r="K581" s="141"/>
      <c r="L581" s="141"/>
      <c r="M581" s="141"/>
      <c r="N581" s="141"/>
      <c r="O581" s="141"/>
      <c r="P581" s="141"/>
      <c r="Q581" s="141"/>
      <c r="R581" s="141"/>
      <c r="S581" s="141"/>
      <c r="T581" s="141"/>
      <c r="U581" s="141"/>
    </row>
    <row r="582" spans="1:21" x14ac:dyDescent="0.25">
      <c r="A582" s="141"/>
      <c r="B582" s="141"/>
      <c r="C582" s="141"/>
      <c r="D582" s="141"/>
      <c r="E582" s="141"/>
      <c r="F582" s="141"/>
      <c r="G582" s="141"/>
      <c r="H582" s="141"/>
      <c r="I582" s="141"/>
      <c r="J582" s="141"/>
      <c r="K582" s="141"/>
      <c r="L582" s="141"/>
      <c r="M582" s="141"/>
      <c r="N582" s="141"/>
      <c r="O582" s="141"/>
      <c r="P582" s="141"/>
      <c r="Q582" s="141"/>
      <c r="R582" s="141"/>
      <c r="S582" s="141"/>
      <c r="T582" s="141"/>
      <c r="U582" s="141"/>
    </row>
    <row r="583" spans="1:21" x14ac:dyDescent="0.25">
      <c r="A583" s="141"/>
      <c r="B583" s="141"/>
      <c r="C583" s="141"/>
      <c r="D583" s="141"/>
      <c r="E583" s="141"/>
      <c r="F583" s="141"/>
      <c r="G583" s="141"/>
      <c r="H583" s="141"/>
      <c r="I583" s="141"/>
      <c r="J583" s="141"/>
      <c r="K583" s="141"/>
      <c r="L583" s="141"/>
      <c r="M583" s="141"/>
      <c r="N583" s="141"/>
      <c r="O583" s="141"/>
      <c r="P583" s="141"/>
      <c r="Q583" s="141"/>
      <c r="R583" s="141"/>
      <c r="S583" s="141"/>
      <c r="T583" s="141"/>
      <c r="U583" s="141"/>
    </row>
    <row r="584" spans="1:21" x14ac:dyDescent="0.25">
      <c r="A584" s="141"/>
      <c r="B584" s="141"/>
      <c r="C584" s="141"/>
      <c r="D584" s="141"/>
      <c r="E584" s="141"/>
      <c r="F584" s="141"/>
      <c r="G584" s="141"/>
      <c r="H584" s="141"/>
      <c r="I584" s="141"/>
      <c r="J584" s="141"/>
      <c r="K584" s="141"/>
      <c r="L584" s="141"/>
      <c r="M584" s="141"/>
      <c r="N584" s="141"/>
      <c r="O584" s="141"/>
      <c r="P584" s="141"/>
      <c r="Q584" s="141"/>
      <c r="R584" s="141"/>
      <c r="S584" s="141"/>
      <c r="T584" s="141"/>
      <c r="U584" s="141"/>
    </row>
    <row r="585" spans="1:21" x14ac:dyDescent="0.25">
      <c r="A585" s="141"/>
      <c r="B585" s="141"/>
      <c r="C585" s="141"/>
      <c r="D585" s="141"/>
      <c r="E585" s="141"/>
      <c r="F585" s="141"/>
      <c r="G585" s="141"/>
      <c r="H585" s="141"/>
      <c r="I585" s="141"/>
      <c r="J585" s="141"/>
      <c r="K585" s="141"/>
      <c r="L585" s="141"/>
      <c r="M585" s="141"/>
      <c r="N585" s="141"/>
      <c r="O585" s="141"/>
      <c r="P585" s="141"/>
      <c r="Q585" s="141"/>
      <c r="R585" s="141"/>
      <c r="S585" s="141"/>
      <c r="T585" s="141"/>
      <c r="U585" s="141"/>
    </row>
    <row r="586" spans="1:21" x14ac:dyDescent="0.25">
      <c r="A586" s="141"/>
      <c r="B586" s="141"/>
      <c r="C586" s="141"/>
      <c r="D586" s="141"/>
      <c r="E586" s="141"/>
      <c r="F586" s="141"/>
      <c r="G586" s="141"/>
      <c r="H586" s="141"/>
      <c r="I586" s="141"/>
      <c r="J586" s="141"/>
      <c r="K586" s="141"/>
      <c r="L586" s="141"/>
      <c r="M586" s="141"/>
      <c r="N586" s="141"/>
      <c r="O586" s="141"/>
      <c r="P586" s="141"/>
      <c r="Q586" s="141"/>
      <c r="R586" s="141"/>
      <c r="S586" s="141"/>
      <c r="T586" s="141"/>
      <c r="U586" s="141"/>
    </row>
    <row r="587" spans="1:21" x14ac:dyDescent="0.25">
      <c r="A587" s="141"/>
      <c r="B587" s="141"/>
      <c r="C587" s="141"/>
      <c r="D587" s="141"/>
      <c r="E587" s="141"/>
      <c r="F587" s="141"/>
      <c r="G587" s="141"/>
      <c r="H587" s="141"/>
      <c r="I587" s="141"/>
      <c r="J587" s="141"/>
      <c r="K587" s="141"/>
      <c r="L587" s="141"/>
      <c r="M587" s="141"/>
      <c r="N587" s="141"/>
      <c r="O587" s="141"/>
      <c r="P587" s="141"/>
      <c r="Q587" s="141"/>
      <c r="R587" s="141"/>
      <c r="S587" s="141"/>
      <c r="T587" s="141"/>
      <c r="U587" s="141"/>
    </row>
    <row r="588" spans="1:21" x14ac:dyDescent="0.25">
      <c r="A588" s="141"/>
      <c r="B588" s="141"/>
      <c r="C588" s="141"/>
      <c r="D588" s="141"/>
      <c r="E588" s="141"/>
      <c r="F588" s="141"/>
      <c r="G588" s="141"/>
      <c r="H588" s="141"/>
      <c r="I588" s="141"/>
      <c r="J588" s="141"/>
      <c r="K588" s="141"/>
      <c r="L588" s="141"/>
      <c r="M588" s="141"/>
      <c r="N588" s="141"/>
      <c r="O588" s="141"/>
      <c r="P588" s="141"/>
      <c r="Q588" s="141"/>
      <c r="R588" s="141"/>
      <c r="S588" s="141"/>
      <c r="T588" s="141"/>
      <c r="U588" s="141"/>
    </row>
    <row r="589" spans="1:21" x14ac:dyDescent="0.25">
      <c r="A589" s="141"/>
      <c r="B589" s="141"/>
      <c r="C589" s="141"/>
      <c r="D589" s="141"/>
      <c r="E589" s="141"/>
      <c r="F589" s="141"/>
      <c r="G589" s="141"/>
      <c r="H589" s="141"/>
      <c r="I589" s="141"/>
      <c r="J589" s="141"/>
      <c r="K589" s="141"/>
      <c r="L589" s="141"/>
      <c r="M589" s="141"/>
      <c r="N589" s="141"/>
      <c r="O589" s="141"/>
      <c r="P589" s="141"/>
      <c r="Q589" s="141"/>
      <c r="R589" s="141"/>
      <c r="S589" s="141"/>
      <c r="T589" s="141"/>
      <c r="U589" s="141"/>
    </row>
    <row r="590" spans="1:21" x14ac:dyDescent="0.25">
      <c r="A590" s="141"/>
      <c r="B590" s="141"/>
      <c r="C590" s="141"/>
      <c r="D590" s="141"/>
      <c r="E590" s="141"/>
      <c r="F590" s="141"/>
      <c r="G590" s="141"/>
      <c r="H590" s="141"/>
      <c r="I590" s="141"/>
      <c r="J590" s="141"/>
      <c r="K590" s="141"/>
      <c r="L590" s="141"/>
      <c r="M590" s="141"/>
      <c r="N590" s="141"/>
      <c r="O590" s="141"/>
      <c r="P590" s="141"/>
      <c r="Q590" s="141"/>
      <c r="R590" s="141"/>
      <c r="S590" s="141"/>
      <c r="T590" s="141"/>
      <c r="U590" s="141"/>
    </row>
    <row r="591" spans="1:21" x14ac:dyDescent="0.25">
      <c r="A591" s="141"/>
      <c r="B591" s="141"/>
      <c r="C591" s="141"/>
      <c r="D591" s="141"/>
      <c r="E591" s="141"/>
      <c r="F591" s="141"/>
      <c r="G591" s="141"/>
      <c r="H591" s="141"/>
      <c r="I591" s="141"/>
      <c r="J591" s="141"/>
      <c r="K591" s="141"/>
      <c r="L591" s="141"/>
      <c r="M591" s="141"/>
      <c r="N591" s="141"/>
      <c r="O591" s="141"/>
      <c r="P591" s="141"/>
      <c r="Q591" s="141"/>
      <c r="R591" s="141"/>
      <c r="S591" s="141"/>
      <c r="T591" s="141"/>
      <c r="U591" s="141"/>
    </row>
    <row r="592" spans="1:21" x14ac:dyDescent="0.25">
      <c r="A592" s="141"/>
      <c r="B592" s="141"/>
      <c r="C592" s="141"/>
      <c r="D592" s="141"/>
      <c r="E592" s="141"/>
      <c r="F592" s="141"/>
      <c r="G592" s="141"/>
      <c r="H592" s="141"/>
      <c r="I592" s="141"/>
      <c r="J592" s="141"/>
      <c r="K592" s="141"/>
      <c r="L592" s="141"/>
      <c r="M592" s="141"/>
      <c r="N592" s="141"/>
      <c r="O592" s="141"/>
      <c r="P592" s="141"/>
      <c r="Q592" s="141"/>
      <c r="R592" s="141"/>
      <c r="S592" s="141"/>
      <c r="T592" s="141"/>
      <c r="U592" s="141"/>
    </row>
    <row r="593" spans="1:21" x14ac:dyDescent="0.25">
      <c r="A593" s="141"/>
      <c r="B593" s="141"/>
      <c r="C593" s="141"/>
      <c r="D593" s="141"/>
      <c r="E593" s="141"/>
      <c r="F593" s="141"/>
      <c r="G593" s="141"/>
      <c r="H593" s="141"/>
      <c r="I593" s="141"/>
      <c r="J593" s="141"/>
      <c r="K593" s="141"/>
      <c r="L593" s="141"/>
      <c r="M593" s="141"/>
      <c r="N593" s="141"/>
      <c r="O593" s="141"/>
      <c r="P593" s="141"/>
      <c r="Q593" s="141"/>
      <c r="R593" s="141"/>
      <c r="S593" s="141"/>
      <c r="T593" s="141"/>
      <c r="U593" s="141"/>
    </row>
    <row r="594" spans="1:21" x14ac:dyDescent="0.25">
      <c r="A594" s="141"/>
      <c r="B594" s="141"/>
      <c r="C594" s="141"/>
      <c r="D594" s="141"/>
      <c r="E594" s="141"/>
      <c r="F594" s="141"/>
      <c r="G594" s="141"/>
      <c r="H594" s="141"/>
      <c r="I594" s="141"/>
      <c r="J594" s="141"/>
      <c r="K594" s="141"/>
      <c r="L594" s="141"/>
      <c r="M594" s="141"/>
      <c r="N594" s="141"/>
      <c r="O594" s="141"/>
      <c r="P594" s="141"/>
      <c r="Q594" s="141"/>
      <c r="R594" s="141"/>
      <c r="S594" s="141"/>
      <c r="T594" s="141"/>
      <c r="U594" s="141"/>
    </row>
    <row r="595" spans="1:21" x14ac:dyDescent="0.25">
      <c r="A595" s="141"/>
      <c r="B595" s="141"/>
      <c r="C595" s="141"/>
      <c r="D595" s="141"/>
      <c r="E595" s="141"/>
      <c r="F595" s="141"/>
      <c r="G595" s="141"/>
      <c r="H595" s="141"/>
      <c r="I595" s="141"/>
      <c r="J595" s="141"/>
      <c r="K595" s="141"/>
      <c r="L595" s="141"/>
      <c r="M595" s="141"/>
      <c r="N595" s="141"/>
      <c r="O595" s="141"/>
      <c r="P595" s="141"/>
      <c r="Q595" s="141"/>
      <c r="R595" s="141"/>
      <c r="S595" s="141"/>
      <c r="T595" s="141"/>
      <c r="U595" s="141"/>
    </row>
    <row r="596" spans="1:21" x14ac:dyDescent="0.25">
      <c r="A596" s="141"/>
      <c r="B596" s="141"/>
      <c r="C596" s="141"/>
      <c r="D596" s="141"/>
      <c r="E596" s="141"/>
      <c r="F596" s="141"/>
      <c r="G596" s="141"/>
      <c r="H596" s="141"/>
      <c r="I596" s="141"/>
      <c r="J596" s="141"/>
      <c r="K596" s="141"/>
      <c r="L596" s="141"/>
      <c r="M596" s="141"/>
      <c r="N596" s="141"/>
      <c r="O596" s="141"/>
      <c r="P596" s="141"/>
      <c r="Q596" s="141"/>
      <c r="R596" s="141"/>
      <c r="S596" s="141"/>
      <c r="T596" s="141"/>
      <c r="U596" s="141"/>
    </row>
    <row r="597" spans="1:21" x14ac:dyDescent="0.25">
      <c r="A597" s="141"/>
      <c r="B597" s="141"/>
      <c r="C597" s="141"/>
      <c r="D597" s="141"/>
      <c r="E597" s="141"/>
      <c r="F597" s="141"/>
      <c r="G597" s="141"/>
      <c r="H597" s="141"/>
      <c r="I597" s="141"/>
      <c r="J597" s="141"/>
      <c r="K597" s="141"/>
      <c r="L597" s="141"/>
      <c r="M597" s="141"/>
      <c r="N597" s="141"/>
      <c r="O597" s="141"/>
      <c r="P597" s="141"/>
      <c r="Q597" s="141"/>
      <c r="R597" s="141"/>
      <c r="S597" s="141"/>
      <c r="T597" s="141"/>
      <c r="U597" s="141"/>
    </row>
    <row r="598" spans="1:21" x14ac:dyDescent="0.25">
      <c r="A598" s="141"/>
      <c r="B598" s="141"/>
      <c r="C598" s="141"/>
      <c r="D598" s="141"/>
      <c r="E598" s="141"/>
      <c r="F598" s="141"/>
      <c r="G598" s="141"/>
      <c r="H598" s="141"/>
      <c r="I598" s="141"/>
      <c r="J598" s="141"/>
      <c r="K598" s="141"/>
      <c r="L598" s="141"/>
      <c r="M598" s="141"/>
      <c r="N598" s="141"/>
      <c r="O598" s="141"/>
      <c r="P598" s="141"/>
      <c r="Q598" s="141"/>
      <c r="R598" s="141"/>
      <c r="S598" s="141"/>
      <c r="T598" s="141"/>
      <c r="U598" s="141"/>
    </row>
    <row r="599" spans="1:21" x14ac:dyDescent="0.25">
      <c r="A599" s="141"/>
      <c r="B599" s="141"/>
      <c r="C599" s="141"/>
      <c r="D599" s="141"/>
      <c r="E599" s="141"/>
      <c r="F599" s="141"/>
      <c r="G599" s="141"/>
      <c r="H599" s="141"/>
      <c r="I599" s="141"/>
      <c r="J599" s="141"/>
      <c r="K599" s="141"/>
      <c r="L599" s="141"/>
      <c r="M599" s="141"/>
      <c r="N599" s="141"/>
      <c r="O599" s="141"/>
      <c r="P599" s="141"/>
      <c r="Q599" s="141"/>
      <c r="R599" s="141"/>
      <c r="S599" s="141"/>
      <c r="T599" s="141"/>
      <c r="U599" s="141"/>
    </row>
    <row r="600" spans="1:21" x14ac:dyDescent="0.25">
      <c r="A600" s="141"/>
      <c r="B600" s="141"/>
      <c r="C600" s="141"/>
      <c r="D600" s="141"/>
      <c r="E600" s="141"/>
      <c r="F600" s="141"/>
      <c r="G600" s="141"/>
      <c r="H600" s="141"/>
      <c r="I600" s="141"/>
      <c r="J600" s="141"/>
      <c r="K600" s="141"/>
      <c r="L600" s="141"/>
      <c r="M600" s="141"/>
      <c r="N600" s="141"/>
      <c r="O600" s="141"/>
      <c r="P600" s="141"/>
      <c r="Q600" s="141"/>
      <c r="R600" s="141"/>
      <c r="S600" s="141"/>
      <c r="T600" s="141"/>
      <c r="U600" s="141"/>
    </row>
    <row r="601" spans="1:21" x14ac:dyDescent="0.25">
      <c r="A601" s="141"/>
      <c r="B601" s="141"/>
      <c r="C601" s="141"/>
      <c r="D601" s="141"/>
      <c r="E601" s="141"/>
      <c r="F601" s="141"/>
      <c r="G601" s="141"/>
      <c r="H601" s="141"/>
      <c r="I601" s="141"/>
      <c r="J601" s="141"/>
      <c r="K601" s="141"/>
      <c r="L601" s="141"/>
      <c r="M601" s="141"/>
      <c r="N601" s="141"/>
      <c r="O601" s="141"/>
      <c r="P601" s="141"/>
      <c r="Q601" s="141"/>
      <c r="R601" s="141"/>
      <c r="S601" s="141"/>
      <c r="T601" s="141"/>
      <c r="U601" s="141"/>
    </row>
    <row r="602" spans="1:21" x14ac:dyDescent="0.25">
      <c r="A602" s="141"/>
      <c r="B602" s="141"/>
      <c r="C602" s="141"/>
      <c r="D602" s="141"/>
      <c r="E602" s="141"/>
      <c r="F602" s="141"/>
      <c r="G602" s="141"/>
      <c r="H602" s="141"/>
      <c r="I602" s="141"/>
      <c r="J602" s="141"/>
      <c r="K602" s="141"/>
      <c r="L602" s="141"/>
      <c r="M602" s="141"/>
      <c r="N602" s="141"/>
      <c r="O602" s="141"/>
      <c r="P602" s="141"/>
      <c r="Q602" s="141"/>
      <c r="R602" s="141"/>
      <c r="S602" s="141"/>
      <c r="T602" s="141"/>
      <c r="U602" s="141"/>
    </row>
    <row r="603" spans="1:21" x14ac:dyDescent="0.25">
      <c r="A603" s="141"/>
      <c r="B603" s="141"/>
      <c r="C603" s="141"/>
      <c r="D603" s="141"/>
      <c r="E603" s="141"/>
      <c r="F603" s="141"/>
      <c r="G603" s="141"/>
      <c r="H603" s="141"/>
      <c r="I603" s="141"/>
      <c r="J603" s="141"/>
      <c r="K603" s="141"/>
      <c r="L603" s="141"/>
      <c r="M603" s="141"/>
      <c r="N603" s="141"/>
      <c r="O603" s="141"/>
      <c r="P603" s="141"/>
      <c r="Q603" s="141"/>
      <c r="R603" s="141"/>
      <c r="S603" s="141"/>
      <c r="T603" s="141"/>
      <c r="U603" s="141"/>
    </row>
    <row r="604" spans="1:21" x14ac:dyDescent="0.25">
      <c r="A604" s="141"/>
      <c r="B604" s="141"/>
      <c r="C604" s="141"/>
      <c r="D604" s="141"/>
      <c r="E604" s="141"/>
      <c r="F604" s="141"/>
      <c r="G604" s="141"/>
      <c r="H604" s="141"/>
      <c r="I604" s="141"/>
      <c r="J604" s="141"/>
      <c r="K604" s="141"/>
      <c r="L604" s="141"/>
      <c r="M604" s="141"/>
      <c r="N604" s="141"/>
      <c r="O604" s="141"/>
      <c r="P604" s="141"/>
      <c r="Q604" s="141"/>
      <c r="R604" s="141"/>
      <c r="S604" s="141"/>
      <c r="T604" s="141"/>
      <c r="U604" s="141"/>
    </row>
    <row r="605" spans="1:21" x14ac:dyDescent="0.25">
      <c r="A605" s="141"/>
      <c r="B605" s="141"/>
      <c r="C605" s="141"/>
      <c r="D605" s="141"/>
      <c r="E605" s="141"/>
      <c r="F605" s="141"/>
      <c r="G605" s="141"/>
      <c r="H605" s="141"/>
      <c r="I605" s="141"/>
      <c r="J605" s="141"/>
      <c r="K605" s="141"/>
      <c r="L605" s="141"/>
      <c r="M605" s="141"/>
      <c r="N605" s="141"/>
      <c r="O605" s="141"/>
      <c r="P605" s="141"/>
      <c r="Q605" s="141"/>
      <c r="R605" s="141"/>
      <c r="S605" s="141"/>
      <c r="T605" s="141"/>
      <c r="U605" s="141"/>
    </row>
    <row r="606" spans="1:21" x14ac:dyDescent="0.25">
      <c r="A606" s="141"/>
      <c r="B606" s="141"/>
      <c r="C606" s="141"/>
      <c r="D606" s="141"/>
      <c r="E606" s="141"/>
      <c r="F606" s="141"/>
      <c r="G606" s="141"/>
      <c r="H606" s="141"/>
      <c r="I606" s="141"/>
      <c r="J606" s="141"/>
      <c r="K606" s="141"/>
      <c r="L606" s="141"/>
      <c r="M606" s="141"/>
      <c r="N606" s="141"/>
      <c r="O606" s="141"/>
      <c r="P606" s="141"/>
      <c r="Q606" s="141"/>
      <c r="R606" s="141"/>
      <c r="S606" s="141"/>
      <c r="T606" s="141"/>
      <c r="U606" s="141"/>
    </row>
    <row r="607" spans="1:21" x14ac:dyDescent="0.25">
      <c r="A607" s="141"/>
      <c r="B607" s="141"/>
      <c r="C607" s="141"/>
      <c r="D607" s="141"/>
      <c r="E607" s="141"/>
      <c r="F607" s="141"/>
      <c r="G607" s="141"/>
      <c r="H607" s="141"/>
      <c r="I607" s="141"/>
      <c r="J607" s="141"/>
      <c r="K607" s="141"/>
      <c r="L607" s="141"/>
      <c r="M607" s="141"/>
      <c r="N607" s="141"/>
      <c r="O607" s="141"/>
      <c r="P607" s="141"/>
      <c r="Q607" s="141"/>
      <c r="R607" s="141"/>
      <c r="S607" s="141"/>
      <c r="T607" s="141"/>
      <c r="U607" s="141"/>
    </row>
    <row r="608" spans="1:21" x14ac:dyDescent="0.25">
      <c r="A608" s="141"/>
      <c r="B608" s="141"/>
      <c r="C608" s="141"/>
      <c r="D608" s="141"/>
      <c r="E608" s="141"/>
      <c r="F608" s="141"/>
      <c r="G608" s="141"/>
      <c r="H608" s="141"/>
      <c r="I608" s="141"/>
      <c r="J608" s="141"/>
      <c r="K608" s="141"/>
      <c r="L608" s="141"/>
      <c r="M608" s="141"/>
      <c r="N608" s="141"/>
      <c r="O608" s="141"/>
      <c r="P608" s="141"/>
      <c r="Q608" s="141"/>
      <c r="R608" s="141"/>
      <c r="S608" s="141"/>
      <c r="T608" s="141"/>
      <c r="U608" s="141"/>
    </row>
    <row r="609" spans="1:21" x14ac:dyDescent="0.25">
      <c r="A609" s="141"/>
      <c r="B609" s="141"/>
      <c r="C609" s="141"/>
      <c r="D609" s="141"/>
      <c r="E609" s="141"/>
      <c r="F609" s="141"/>
      <c r="G609" s="141"/>
      <c r="H609" s="141"/>
      <c r="I609" s="141"/>
      <c r="J609" s="141"/>
      <c r="K609" s="141"/>
      <c r="L609" s="141"/>
      <c r="M609" s="141"/>
      <c r="N609" s="141"/>
      <c r="O609" s="141"/>
      <c r="P609" s="141"/>
      <c r="Q609" s="141"/>
      <c r="R609" s="141"/>
      <c r="S609" s="141"/>
      <c r="T609" s="141"/>
      <c r="U609" s="141"/>
    </row>
    <row r="610" spans="1:21" x14ac:dyDescent="0.25">
      <c r="A610" s="141"/>
      <c r="B610" s="141"/>
      <c r="C610" s="141"/>
      <c r="D610" s="141"/>
      <c r="E610" s="141"/>
      <c r="F610" s="141"/>
      <c r="G610" s="141"/>
      <c r="H610" s="141"/>
      <c r="I610" s="141"/>
      <c r="J610" s="141"/>
      <c r="K610" s="141"/>
      <c r="L610" s="141"/>
      <c r="M610" s="141"/>
      <c r="N610" s="141"/>
      <c r="O610" s="141"/>
      <c r="P610" s="141"/>
      <c r="Q610" s="141"/>
      <c r="R610" s="141"/>
      <c r="S610" s="141"/>
      <c r="T610" s="141"/>
      <c r="U610" s="141"/>
    </row>
    <row r="611" spans="1:21" x14ac:dyDescent="0.25">
      <c r="A611" s="141"/>
      <c r="B611" s="141"/>
      <c r="C611" s="141"/>
      <c r="D611" s="141"/>
      <c r="E611" s="141"/>
      <c r="F611" s="141"/>
      <c r="G611" s="141"/>
      <c r="H611" s="141"/>
      <c r="I611" s="141"/>
      <c r="J611" s="141"/>
      <c r="K611" s="141"/>
      <c r="L611" s="141"/>
      <c r="M611" s="141"/>
      <c r="N611" s="141"/>
      <c r="O611" s="141"/>
      <c r="P611" s="141"/>
      <c r="Q611" s="141"/>
      <c r="R611" s="141"/>
      <c r="S611" s="141"/>
      <c r="T611" s="141"/>
      <c r="U611" s="141"/>
    </row>
    <row r="612" spans="1:21" x14ac:dyDescent="0.25">
      <c r="A612" s="141"/>
      <c r="B612" s="141"/>
      <c r="C612" s="141"/>
      <c r="D612" s="141"/>
      <c r="E612" s="141"/>
      <c r="F612" s="141"/>
      <c r="G612" s="141"/>
      <c r="H612" s="141"/>
      <c r="I612" s="141"/>
      <c r="J612" s="141"/>
      <c r="K612" s="141"/>
      <c r="L612" s="141"/>
      <c r="M612" s="141"/>
      <c r="N612" s="141"/>
      <c r="O612" s="141"/>
      <c r="P612" s="141"/>
      <c r="Q612" s="141"/>
      <c r="R612" s="141"/>
      <c r="S612" s="141"/>
      <c r="T612" s="141"/>
      <c r="U612" s="141"/>
    </row>
    <row r="613" spans="1:21" x14ac:dyDescent="0.25">
      <c r="A613" s="141"/>
      <c r="B613" s="141"/>
      <c r="C613" s="141"/>
      <c r="D613" s="141"/>
      <c r="E613" s="141"/>
      <c r="F613" s="141"/>
      <c r="G613" s="141"/>
      <c r="H613" s="141"/>
      <c r="I613" s="141"/>
      <c r="J613" s="141"/>
      <c r="K613" s="141"/>
      <c r="L613" s="141"/>
      <c r="M613" s="141"/>
      <c r="N613" s="141"/>
      <c r="O613" s="141"/>
      <c r="P613" s="141"/>
      <c r="Q613" s="141"/>
      <c r="R613" s="141"/>
      <c r="S613" s="141"/>
      <c r="T613" s="141"/>
      <c r="U613" s="141"/>
    </row>
    <row r="614" spans="1:21" x14ac:dyDescent="0.25">
      <c r="A614" s="141"/>
      <c r="B614" s="141"/>
      <c r="C614" s="141"/>
      <c r="D614" s="141"/>
      <c r="E614" s="141"/>
      <c r="F614" s="141"/>
      <c r="G614" s="141"/>
      <c r="H614" s="141"/>
      <c r="I614" s="141"/>
      <c r="J614" s="141"/>
      <c r="K614" s="141"/>
      <c r="L614" s="141"/>
      <c r="M614" s="141"/>
      <c r="N614" s="141"/>
      <c r="O614" s="141"/>
      <c r="P614" s="141"/>
      <c r="Q614" s="141"/>
      <c r="R614" s="141"/>
      <c r="S614" s="141"/>
      <c r="T614" s="141"/>
      <c r="U614" s="141"/>
    </row>
    <row r="615" spans="1:21" x14ac:dyDescent="0.25">
      <c r="A615" s="141"/>
      <c r="B615" s="141"/>
      <c r="C615" s="141"/>
      <c r="D615" s="141"/>
      <c r="E615" s="141"/>
      <c r="F615" s="141"/>
      <c r="G615" s="141"/>
      <c r="H615" s="141"/>
      <c r="I615" s="141"/>
      <c r="J615" s="141"/>
      <c r="K615" s="141"/>
      <c r="L615" s="141"/>
      <c r="M615" s="141"/>
      <c r="N615" s="141"/>
      <c r="O615" s="141"/>
      <c r="P615" s="141"/>
      <c r="Q615" s="141"/>
      <c r="R615" s="141"/>
      <c r="S615" s="141"/>
      <c r="T615" s="141"/>
      <c r="U615" s="141"/>
    </row>
    <row r="616" spans="1:21" x14ac:dyDescent="0.25">
      <c r="A616" s="141"/>
      <c r="B616" s="141"/>
      <c r="C616" s="141"/>
      <c r="D616" s="141"/>
      <c r="E616" s="141"/>
      <c r="F616" s="141"/>
      <c r="G616" s="141"/>
      <c r="H616" s="141"/>
      <c r="I616" s="141"/>
      <c r="J616" s="141"/>
      <c r="K616" s="141"/>
      <c r="L616" s="141"/>
      <c r="M616" s="141"/>
      <c r="N616" s="141"/>
      <c r="O616" s="141"/>
      <c r="P616" s="141"/>
      <c r="Q616" s="141"/>
      <c r="R616" s="141"/>
      <c r="S616" s="141"/>
      <c r="T616" s="141"/>
      <c r="U616" s="141"/>
    </row>
    <row r="617" spans="1:21" x14ac:dyDescent="0.25">
      <c r="A617" s="141"/>
      <c r="B617" s="141"/>
      <c r="C617" s="141"/>
      <c r="D617" s="141"/>
      <c r="E617" s="141"/>
      <c r="F617" s="141"/>
      <c r="G617" s="141"/>
      <c r="H617" s="141"/>
      <c r="I617" s="141"/>
      <c r="J617" s="141"/>
      <c r="K617" s="141"/>
      <c r="L617" s="141"/>
      <c r="M617" s="141"/>
      <c r="N617" s="141"/>
      <c r="O617" s="141"/>
      <c r="P617" s="141"/>
      <c r="Q617" s="141"/>
      <c r="R617" s="141"/>
      <c r="S617" s="141"/>
      <c r="T617" s="141"/>
      <c r="U617" s="141"/>
    </row>
    <row r="618" spans="1:21" x14ac:dyDescent="0.25">
      <c r="A618" s="141"/>
      <c r="B618" s="141"/>
      <c r="C618" s="141"/>
      <c r="D618" s="141"/>
      <c r="E618" s="141"/>
      <c r="F618" s="141"/>
      <c r="G618" s="141"/>
      <c r="H618" s="141"/>
      <c r="I618" s="141"/>
      <c r="J618" s="141"/>
      <c r="K618" s="141"/>
      <c r="L618" s="141"/>
      <c r="M618" s="141"/>
      <c r="N618" s="141"/>
      <c r="O618" s="141"/>
      <c r="P618" s="141"/>
      <c r="Q618" s="141"/>
      <c r="R618" s="141"/>
      <c r="S618" s="141"/>
      <c r="T618" s="141"/>
      <c r="U618" s="141"/>
    </row>
    <row r="619" spans="1:21" x14ac:dyDescent="0.25">
      <c r="A619" s="141"/>
      <c r="B619" s="141"/>
      <c r="C619" s="141"/>
      <c r="D619" s="141"/>
      <c r="E619" s="141"/>
      <c r="F619" s="141"/>
      <c r="G619" s="141"/>
      <c r="H619" s="141"/>
      <c r="I619" s="141"/>
      <c r="J619" s="141"/>
      <c r="K619" s="141"/>
      <c r="L619" s="141"/>
      <c r="M619" s="141"/>
      <c r="N619" s="141"/>
      <c r="O619" s="141"/>
      <c r="P619" s="141"/>
      <c r="Q619" s="141"/>
      <c r="R619" s="141"/>
      <c r="S619" s="141"/>
      <c r="T619" s="141"/>
      <c r="U619" s="141"/>
    </row>
    <row r="620" spans="1:21" x14ac:dyDescent="0.25">
      <c r="A620" s="141"/>
      <c r="B620" s="141"/>
      <c r="C620" s="141"/>
      <c r="D620" s="141"/>
      <c r="E620" s="141"/>
      <c r="F620" s="141"/>
      <c r="G620" s="141"/>
      <c r="H620" s="141"/>
      <c r="I620" s="141"/>
      <c r="J620" s="141"/>
      <c r="K620" s="141"/>
      <c r="L620" s="141"/>
      <c r="M620" s="141"/>
      <c r="N620" s="141"/>
      <c r="O620" s="141"/>
      <c r="P620" s="141"/>
      <c r="Q620" s="141"/>
      <c r="R620" s="141"/>
      <c r="S620" s="141"/>
      <c r="T620" s="141"/>
      <c r="U620" s="141"/>
    </row>
    <row r="621" spans="1:21" x14ac:dyDescent="0.25">
      <c r="A621" s="141"/>
      <c r="B621" s="141"/>
      <c r="C621" s="141"/>
      <c r="D621" s="141"/>
      <c r="E621" s="141"/>
      <c r="F621" s="141"/>
      <c r="G621" s="141"/>
      <c r="H621" s="141"/>
      <c r="I621" s="141"/>
      <c r="J621" s="141"/>
      <c r="K621" s="141"/>
      <c r="L621" s="141"/>
      <c r="M621" s="141"/>
      <c r="N621" s="141"/>
      <c r="O621" s="141"/>
      <c r="P621" s="141"/>
      <c r="Q621" s="141"/>
      <c r="R621" s="141"/>
      <c r="S621" s="141"/>
      <c r="T621" s="141"/>
      <c r="U621" s="141"/>
    </row>
    <row r="622" spans="1:21" x14ac:dyDescent="0.25">
      <c r="A622" s="141"/>
      <c r="B622" s="141"/>
      <c r="C622" s="141"/>
      <c r="D622" s="141"/>
      <c r="E622" s="141"/>
      <c r="F622" s="141"/>
      <c r="G622" s="141"/>
      <c r="H622" s="141"/>
      <c r="I622" s="141"/>
      <c r="J622" s="141"/>
      <c r="K622" s="141"/>
      <c r="L622" s="141"/>
      <c r="M622" s="141"/>
      <c r="N622" s="141"/>
      <c r="O622" s="141"/>
      <c r="P622" s="141"/>
      <c r="Q622" s="141"/>
      <c r="R622" s="141"/>
      <c r="S622" s="141"/>
      <c r="T622" s="141"/>
      <c r="U622" s="141"/>
    </row>
    <row r="623" spans="1:21" x14ac:dyDescent="0.25">
      <c r="A623" s="141"/>
      <c r="B623" s="141"/>
      <c r="C623" s="141"/>
      <c r="D623" s="141"/>
      <c r="E623" s="141"/>
      <c r="F623" s="141"/>
      <c r="G623" s="141"/>
      <c r="H623" s="141"/>
      <c r="I623" s="141"/>
      <c r="J623" s="141"/>
      <c r="K623" s="141"/>
      <c r="L623" s="141"/>
      <c r="M623" s="141"/>
      <c r="N623" s="141"/>
      <c r="O623" s="141"/>
      <c r="P623" s="141"/>
      <c r="Q623" s="141"/>
      <c r="R623" s="141"/>
      <c r="S623" s="141"/>
      <c r="T623" s="141"/>
      <c r="U623" s="141"/>
    </row>
    <row r="624" spans="1:21" x14ac:dyDescent="0.25">
      <c r="A624" s="141"/>
      <c r="B624" s="141"/>
      <c r="C624" s="141"/>
      <c r="D624" s="141"/>
      <c r="E624" s="141"/>
      <c r="F624" s="141"/>
      <c r="G624" s="141"/>
      <c r="H624" s="141"/>
      <c r="I624" s="141"/>
      <c r="J624" s="141"/>
      <c r="K624" s="141"/>
      <c r="L624" s="141"/>
      <c r="M624" s="141"/>
      <c r="N624" s="141"/>
      <c r="O624" s="141"/>
      <c r="P624" s="141"/>
      <c r="Q624" s="141"/>
      <c r="R624" s="141"/>
      <c r="S624" s="141"/>
      <c r="T624" s="141"/>
      <c r="U624" s="141"/>
    </row>
    <row r="625" spans="1:21" x14ac:dyDescent="0.25">
      <c r="A625" s="141"/>
      <c r="B625" s="141"/>
      <c r="C625" s="141"/>
      <c r="D625" s="141"/>
      <c r="E625" s="141"/>
      <c r="F625" s="141"/>
      <c r="G625" s="141"/>
      <c r="H625" s="141"/>
      <c r="I625" s="141"/>
      <c r="J625" s="141"/>
      <c r="K625" s="141"/>
      <c r="L625" s="141"/>
      <c r="M625" s="141"/>
      <c r="N625" s="141"/>
      <c r="O625" s="141"/>
      <c r="P625" s="141"/>
      <c r="Q625" s="141"/>
      <c r="R625" s="141"/>
      <c r="S625" s="141"/>
      <c r="T625" s="141"/>
      <c r="U625" s="141"/>
    </row>
    <row r="626" spans="1:21" x14ac:dyDescent="0.25">
      <c r="A626" s="141"/>
      <c r="B626" s="141"/>
      <c r="C626" s="141"/>
      <c r="D626" s="141"/>
      <c r="E626" s="141"/>
      <c r="F626" s="141"/>
      <c r="G626" s="141"/>
      <c r="H626" s="141"/>
      <c r="I626" s="141"/>
      <c r="J626" s="141"/>
      <c r="K626" s="141"/>
      <c r="L626" s="141"/>
      <c r="M626" s="141"/>
      <c r="N626" s="141"/>
      <c r="O626" s="141"/>
      <c r="P626" s="141"/>
      <c r="Q626" s="141"/>
      <c r="R626" s="141"/>
      <c r="S626" s="141"/>
      <c r="T626" s="141"/>
      <c r="U626" s="141"/>
    </row>
    <row r="627" spans="1:21" x14ac:dyDescent="0.25">
      <c r="A627" s="141"/>
      <c r="B627" s="141"/>
      <c r="C627" s="141"/>
      <c r="D627" s="141"/>
      <c r="E627" s="141"/>
      <c r="F627" s="141"/>
      <c r="G627" s="141"/>
      <c r="H627" s="141"/>
      <c r="I627" s="141"/>
      <c r="J627" s="141"/>
      <c r="K627" s="141"/>
      <c r="L627" s="141"/>
      <c r="M627" s="141"/>
      <c r="N627" s="141"/>
      <c r="O627" s="141"/>
      <c r="P627" s="141"/>
      <c r="Q627" s="141"/>
      <c r="R627" s="141"/>
      <c r="S627" s="141"/>
      <c r="T627" s="141"/>
      <c r="U627" s="141"/>
    </row>
    <row r="628" spans="1:21" x14ac:dyDescent="0.25">
      <c r="A628" s="141"/>
      <c r="B628" s="141"/>
      <c r="C628" s="141"/>
      <c r="D628" s="141"/>
      <c r="E628" s="141"/>
      <c r="F628" s="141"/>
      <c r="G628" s="141"/>
      <c r="H628" s="141"/>
      <c r="I628" s="141"/>
      <c r="J628" s="141"/>
      <c r="K628" s="141"/>
      <c r="L628" s="141"/>
      <c r="M628" s="141"/>
      <c r="N628" s="141"/>
      <c r="O628" s="141"/>
      <c r="P628" s="141"/>
      <c r="Q628" s="141"/>
      <c r="R628" s="141"/>
      <c r="S628" s="141"/>
      <c r="T628" s="141"/>
      <c r="U628" s="141"/>
    </row>
    <row r="629" spans="1:21" x14ac:dyDescent="0.25">
      <c r="A629" s="141"/>
      <c r="B629" s="141"/>
      <c r="C629" s="141"/>
      <c r="D629" s="141"/>
      <c r="E629" s="141"/>
      <c r="F629" s="141"/>
      <c r="G629" s="141"/>
      <c r="H629" s="141"/>
      <c r="I629" s="141"/>
      <c r="J629" s="141"/>
      <c r="K629" s="141"/>
      <c r="L629" s="141"/>
      <c r="M629" s="141"/>
      <c r="N629" s="141"/>
      <c r="O629" s="141"/>
      <c r="P629" s="141"/>
      <c r="Q629" s="141"/>
      <c r="R629" s="141"/>
      <c r="S629" s="141"/>
      <c r="T629" s="141"/>
      <c r="U629" s="141"/>
    </row>
    <row r="630" spans="1:21" x14ac:dyDescent="0.25">
      <c r="A630" s="141"/>
      <c r="B630" s="141"/>
      <c r="C630" s="141"/>
      <c r="D630" s="141"/>
      <c r="E630" s="141"/>
      <c r="F630" s="141"/>
      <c r="G630" s="141"/>
      <c r="H630" s="141"/>
      <c r="I630" s="141"/>
      <c r="J630" s="141"/>
      <c r="K630" s="141"/>
      <c r="L630" s="141"/>
      <c r="M630" s="141"/>
      <c r="N630" s="141"/>
      <c r="O630" s="141"/>
      <c r="P630" s="141"/>
      <c r="Q630" s="141"/>
      <c r="R630" s="141"/>
      <c r="S630" s="141"/>
      <c r="T630" s="141"/>
      <c r="U630" s="141"/>
    </row>
    <row r="631" spans="1:21" x14ac:dyDescent="0.25">
      <c r="A631" s="141"/>
      <c r="B631" s="141"/>
      <c r="C631" s="141"/>
      <c r="D631" s="141"/>
      <c r="E631" s="141"/>
      <c r="F631" s="141"/>
      <c r="G631" s="141"/>
      <c r="H631" s="141"/>
      <c r="I631" s="141"/>
      <c r="J631" s="141"/>
      <c r="K631" s="141"/>
      <c r="L631" s="141"/>
      <c r="M631" s="141"/>
      <c r="N631" s="141"/>
      <c r="O631" s="141"/>
      <c r="P631" s="141"/>
      <c r="Q631" s="141"/>
      <c r="R631" s="141"/>
      <c r="S631" s="141"/>
      <c r="T631" s="141"/>
      <c r="U631" s="141"/>
    </row>
    <row r="632" spans="1:21" x14ac:dyDescent="0.25">
      <c r="A632" s="141"/>
      <c r="B632" s="141"/>
      <c r="C632" s="141"/>
      <c r="D632" s="141"/>
      <c r="E632" s="141"/>
      <c r="F632" s="141"/>
      <c r="G632" s="141"/>
      <c r="H632" s="141"/>
      <c r="I632" s="141"/>
      <c r="J632" s="141"/>
      <c r="K632" s="141"/>
      <c r="L632" s="141"/>
      <c r="M632" s="141"/>
      <c r="N632" s="141"/>
      <c r="O632" s="141"/>
      <c r="P632" s="141"/>
      <c r="Q632" s="141"/>
      <c r="R632" s="141"/>
      <c r="S632" s="141"/>
      <c r="T632" s="141"/>
      <c r="U632" s="141"/>
    </row>
    <row r="633" spans="1:21" x14ac:dyDescent="0.25">
      <c r="A633" s="141"/>
      <c r="B633" s="141"/>
      <c r="C633" s="141"/>
      <c r="D633" s="141"/>
      <c r="E633" s="141"/>
      <c r="F633" s="141"/>
      <c r="G633" s="141"/>
      <c r="H633" s="141"/>
      <c r="I633" s="141"/>
      <c r="J633" s="141"/>
      <c r="K633" s="141"/>
      <c r="L633" s="141"/>
      <c r="M633" s="141"/>
      <c r="N633" s="141"/>
      <c r="O633" s="141"/>
      <c r="P633" s="141"/>
      <c r="Q633" s="141"/>
      <c r="R633" s="141"/>
      <c r="S633" s="141"/>
      <c r="T633" s="141"/>
      <c r="U633" s="141"/>
    </row>
    <row r="634" spans="1:21" x14ac:dyDescent="0.25">
      <c r="A634" s="141"/>
      <c r="B634" s="141"/>
      <c r="C634" s="141"/>
      <c r="D634" s="141"/>
      <c r="E634" s="141"/>
      <c r="F634" s="141"/>
      <c r="G634" s="141"/>
      <c r="H634" s="141"/>
      <c r="I634" s="141"/>
      <c r="J634" s="141"/>
      <c r="K634" s="141"/>
      <c r="L634" s="141"/>
      <c r="M634" s="141"/>
      <c r="N634" s="141"/>
      <c r="O634" s="141"/>
      <c r="P634" s="141"/>
      <c r="Q634" s="141"/>
      <c r="R634" s="141"/>
      <c r="S634" s="141"/>
      <c r="T634" s="141"/>
      <c r="U634" s="141"/>
    </row>
    <row r="635" spans="1:21" x14ac:dyDescent="0.25">
      <c r="A635" s="141"/>
      <c r="B635" s="141"/>
      <c r="C635" s="141"/>
      <c r="D635" s="141"/>
      <c r="E635" s="141"/>
      <c r="F635" s="141"/>
      <c r="G635" s="141"/>
      <c r="H635" s="141"/>
      <c r="I635" s="141"/>
      <c r="J635" s="141"/>
      <c r="K635" s="141"/>
      <c r="L635" s="141"/>
      <c r="M635" s="141"/>
      <c r="N635" s="141"/>
      <c r="O635" s="141"/>
      <c r="P635" s="141"/>
      <c r="Q635" s="141"/>
      <c r="R635" s="141"/>
      <c r="S635" s="141"/>
      <c r="T635" s="141"/>
      <c r="U635" s="141"/>
    </row>
    <row r="636" spans="1:21" x14ac:dyDescent="0.25">
      <c r="A636" s="141"/>
      <c r="B636" s="141"/>
      <c r="C636" s="141"/>
      <c r="D636" s="141"/>
      <c r="E636" s="141"/>
      <c r="F636" s="141"/>
      <c r="G636" s="141"/>
      <c r="H636" s="141"/>
      <c r="I636" s="141"/>
      <c r="J636" s="141"/>
      <c r="K636" s="141"/>
      <c r="L636" s="141"/>
      <c r="M636" s="141"/>
      <c r="N636" s="141"/>
      <c r="O636" s="141"/>
      <c r="P636" s="141"/>
      <c r="Q636" s="141"/>
      <c r="R636" s="141"/>
      <c r="S636" s="141"/>
      <c r="T636" s="141"/>
      <c r="U636" s="141"/>
    </row>
    <row r="637" spans="1:21" x14ac:dyDescent="0.25">
      <c r="A637" s="141"/>
      <c r="B637" s="141"/>
      <c r="C637" s="141"/>
      <c r="D637" s="141"/>
      <c r="E637" s="141"/>
      <c r="F637" s="141"/>
      <c r="G637" s="141"/>
      <c r="H637" s="141"/>
      <c r="I637" s="141"/>
      <c r="J637" s="141"/>
      <c r="K637" s="141"/>
      <c r="L637" s="141"/>
      <c r="M637" s="141"/>
      <c r="N637" s="141"/>
      <c r="O637" s="141"/>
      <c r="P637" s="141"/>
      <c r="Q637" s="141"/>
      <c r="R637" s="141"/>
      <c r="S637" s="141"/>
      <c r="T637" s="141"/>
      <c r="U637" s="141"/>
    </row>
    <row r="638" spans="1:21" x14ac:dyDescent="0.25">
      <c r="A638" s="141"/>
      <c r="B638" s="141"/>
      <c r="C638" s="141"/>
      <c r="D638" s="141"/>
      <c r="E638" s="141"/>
      <c r="F638" s="141"/>
      <c r="G638" s="141"/>
      <c r="H638" s="141"/>
      <c r="I638" s="141"/>
      <c r="J638" s="141"/>
      <c r="K638" s="141"/>
      <c r="L638" s="141"/>
      <c r="M638" s="141"/>
      <c r="N638" s="141"/>
      <c r="O638" s="141"/>
      <c r="P638" s="141"/>
      <c r="Q638" s="141"/>
      <c r="R638" s="141"/>
      <c r="S638" s="141"/>
      <c r="T638" s="141"/>
      <c r="U638" s="141"/>
    </row>
    <row r="639" spans="1:21" x14ac:dyDescent="0.25">
      <c r="A639" s="141"/>
      <c r="B639" s="141"/>
      <c r="C639" s="141"/>
      <c r="D639" s="141"/>
      <c r="E639" s="141"/>
      <c r="F639" s="141"/>
      <c r="G639" s="141"/>
      <c r="H639" s="141"/>
      <c r="I639" s="141"/>
      <c r="J639" s="141"/>
      <c r="K639" s="141"/>
      <c r="L639" s="141"/>
      <c r="M639" s="141"/>
      <c r="N639" s="141"/>
      <c r="O639" s="141"/>
      <c r="P639" s="141"/>
      <c r="Q639" s="141"/>
      <c r="R639" s="141"/>
      <c r="S639" s="141"/>
      <c r="T639" s="141"/>
      <c r="U639" s="141"/>
    </row>
    <row r="640" spans="1:21" x14ac:dyDescent="0.25">
      <c r="A640" s="141"/>
      <c r="B640" s="141"/>
      <c r="C640" s="141"/>
      <c r="D640" s="141"/>
      <c r="E640" s="141"/>
      <c r="F640" s="141"/>
      <c r="G640" s="141"/>
      <c r="H640" s="141"/>
      <c r="I640" s="141"/>
      <c r="J640" s="141"/>
      <c r="K640" s="141"/>
      <c r="L640" s="141"/>
      <c r="M640" s="141"/>
      <c r="N640" s="141"/>
      <c r="O640" s="141"/>
      <c r="P640" s="141"/>
      <c r="Q640" s="141"/>
      <c r="R640" s="141"/>
      <c r="S640" s="141"/>
      <c r="T640" s="141"/>
      <c r="U640" s="141"/>
    </row>
    <row r="641" spans="1:21" x14ac:dyDescent="0.25">
      <c r="A641" s="141"/>
      <c r="B641" s="141"/>
      <c r="C641" s="141"/>
      <c r="D641" s="141"/>
      <c r="E641" s="141"/>
      <c r="F641" s="141"/>
      <c r="G641" s="141"/>
      <c r="H641" s="141"/>
      <c r="I641" s="141"/>
      <c r="J641" s="141"/>
      <c r="K641" s="141"/>
      <c r="L641" s="141"/>
      <c r="M641" s="141"/>
      <c r="N641" s="141"/>
      <c r="O641" s="141"/>
      <c r="P641" s="141"/>
      <c r="Q641" s="141"/>
      <c r="R641" s="141"/>
      <c r="S641" s="141"/>
      <c r="T641" s="141"/>
      <c r="U641" s="141"/>
    </row>
    <row r="642" spans="1:21" x14ac:dyDescent="0.25">
      <c r="A642" s="141"/>
      <c r="B642" s="141"/>
      <c r="C642" s="141"/>
      <c r="D642" s="141"/>
      <c r="E642" s="141"/>
      <c r="F642" s="141"/>
      <c r="G642" s="141"/>
      <c r="H642" s="141"/>
      <c r="I642" s="141"/>
      <c r="J642" s="141"/>
      <c r="K642" s="141"/>
      <c r="L642" s="141"/>
      <c r="M642" s="141"/>
      <c r="N642" s="141"/>
      <c r="O642" s="141"/>
      <c r="P642" s="141"/>
      <c r="Q642" s="141"/>
      <c r="R642" s="141"/>
      <c r="S642" s="141"/>
      <c r="T642" s="141"/>
      <c r="U642" s="141"/>
    </row>
    <row r="643" spans="1:21" x14ac:dyDescent="0.25">
      <c r="A643" s="141"/>
      <c r="B643" s="141"/>
      <c r="C643" s="141"/>
      <c r="D643" s="141"/>
      <c r="E643" s="141"/>
      <c r="F643" s="141"/>
      <c r="G643" s="141"/>
      <c r="H643" s="141"/>
      <c r="I643" s="141"/>
      <c r="J643" s="141"/>
      <c r="K643" s="141"/>
      <c r="L643" s="141"/>
      <c r="M643" s="141"/>
      <c r="N643" s="141"/>
      <c r="O643" s="141"/>
      <c r="P643" s="141"/>
      <c r="Q643" s="141"/>
      <c r="R643" s="141"/>
      <c r="S643" s="141"/>
      <c r="T643" s="141"/>
      <c r="U643" s="141"/>
    </row>
    <row r="644" spans="1:21" x14ac:dyDescent="0.25">
      <c r="A644" s="141"/>
      <c r="B644" s="141"/>
      <c r="C644" s="141"/>
      <c r="D644" s="141"/>
      <c r="E644" s="141"/>
      <c r="F644" s="141"/>
      <c r="G644" s="141"/>
      <c r="H644" s="141"/>
      <c r="I644" s="141"/>
      <c r="J644" s="141"/>
      <c r="K644" s="141"/>
      <c r="L644" s="141"/>
      <c r="M644" s="141"/>
      <c r="N644" s="141"/>
      <c r="O644" s="141"/>
      <c r="P644" s="141"/>
      <c r="Q644" s="141"/>
      <c r="R644" s="141"/>
      <c r="S644" s="141"/>
      <c r="T644" s="141"/>
      <c r="U644" s="141"/>
    </row>
    <row r="645" spans="1:21" x14ac:dyDescent="0.25">
      <c r="A645" s="141"/>
      <c r="B645" s="141"/>
      <c r="C645" s="141"/>
      <c r="D645" s="141"/>
      <c r="E645" s="141"/>
      <c r="F645" s="141"/>
      <c r="G645" s="141"/>
      <c r="H645" s="141"/>
      <c r="I645" s="141"/>
      <c r="J645" s="141"/>
      <c r="K645" s="141"/>
      <c r="L645" s="141"/>
      <c r="M645" s="141"/>
      <c r="N645" s="141"/>
      <c r="O645" s="141"/>
      <c r="P645" s="141"/>
      <c r="Q645" s="141"/>
      <c r="R645" s="141"/>
      <c r="S645" s="141"/>
      <c r="T645" s="141"/>
      <c r="U645" s="141"/>
    </row>
    <row r="646" spans="1:21" x14ac:dyDescent="0.25">
      <c r="A646" s="141"/>
      <c r="B646" s="141"/>
      <c r="C646" s="141"/>
      <c r="D646" s="141"/>
      <c r="E646" s="141"/>
      <c r="F646" s="141"/>
      <c r="G646" s="141"/>
      <c r="H646" s="141"/>
      <c r="I646" s="141"/>
      <c r="J646" s="141"/>
      <c r="K646" s="141"/>
      <c r="L646" s="141"/>
      <c r="M646" s="141"/>
      <c r="N646" s="141"/>
      <c r="O646" s="141"/>
      <c r="P646" s="141"/>
      <c r="Q646" s="141"/>
      <c r="R646" s="141"/>
      <c r="S646" s="141"/>
      <c r="T646" s="141"/>
      <c r="U646" s="141"/>
    </row>
    <row r="647" spans="1:21" x14ac:dyDescent="0.25">
      <c r="A647" s="141"/>
      <c r="B647" s="141"/>
      <c r="C647" s="141"/>
      <c r="D647" s="141"/>
      <c r="E647" s="141"/>
      <c r="F647" s="141"/>
      <c r="G647" s="141"/>
      <c r="H647" s="141"/>
      <c r="I647" s="141"/>
      <c r="J647" s="141"/>
      <c r="K647" s="141"/>
      <c r="L647" s="141"/>
      <c r="M647" s="141"/>
      <c r="N647" s="141"/>
      <c r="O647" s="141"/>
      <c r="P647" s="141"/>
      <c r="Q647" s="141"/>
      <c r="R647" s="141"/>
      <c r="S647" s="141"/>
      <c r="T647" s="141"/>
      <c r="U647" s="141"/>
    </row>
    <row r="648" spans="1:21" x14ac:dyDescent="0.25">
      <c r="A648" s="141"/>
      <c r="B648" s="141"/>
      <c r="C648" s="141"/>
      <c r="D648" s="141"/>
      <c r="E648" s="141"/>
      <c r="F648" s="141"/>
      <c r="G648" s="141"/>
      <c r="H648" s="141"/>
      <c r="I648" s="141"/>
      <c r="J648" s="141"/>
      <c r="K648" s="141"/>
      <c r="L648" s="141"/>
      <c r="M648" s="141"/>
      <c r="N648" s="141"/>
      <c r="O648" s="141"/>
      <c r="P648" s="141"/>
      <c r="Q648" s="141"/>
      <c r="R648" s="141"/>
      <c r="S648" s="141"/>
      <c r="T648" s="141"/>
      <c r="U648" s="141"/>
    </row>
    <row r="649" spans="1:21" x14ac:dyDescent="0.25">
      <c r="A649" s="141"/>
      <c r="B649" s="141"/>
      <c r="C649" s="141"/>
      <c r="D649" s="141"/>
      <c r="E649" s="141"/>
      <c r="F649" s="141"/>
      <c r="G649" s="141"/>
      <c r="H649" s="141"/>
      <c r="I649" s="141"/>
      <c r="J649" s="141"/>
      <c r="K649" s="141"/>
      <c r="L649" s="141"/>
      <c r="M649" s="141"/>
      <c r="N649" s="141"/>
      <c r="O649" s="141"/>
      <c r="P649" s="141"/>
      <c r="Q649" s="141"/>
      <c r="R649" s="141"/>
      <c r="S649" s="141"/>
      <c r="T649" s="141"/>
      <c r="U649" s="141"/>
    </row>
    <row r="650" spans="1:21" x14ac:dyDescent="0.25">
      <c r="A650" s="141"/>
      <c r="B650" s="141"/>
      <c r="C650" s="141"/>
      <c r="D650" s="141"/>
      <c r="E650" s="141"/>
      <c r="F650" s="141"/>
      <c r="G650" s="141"/>
      <c r="H650" s="141"/>
      <c r="I650" s="141"/>
      <c r="J650" s="141"/>
      <c r="K650" s="141"/>
      <c r="L650" s="141"/>
      <c r="M650" s="141"/>
      <c r="N650" s="141"/>
      <c r="O650" s="141"/>
      <c r="P650" s="141"/>
      <c r="Q650" s="141"/>
      <c r="R650" s="141"/>
      <c r="S650" s="141"/>
      <c r="T650" s="141"/>
      <c r="U650" s="141"/>
    </row>
    <row r="651" spans="1:21" x14ac:dyDescent="0.25">
      <c r="A651" s="141"/>
      <c r="B651" s="141"/>
      <c r="C651" s="141"/>
      <c r="D651" s="141"/>
      <c r="E651" s="141"/>
      <c r="F651" s="141"/>
      <c r="G651" s="141"/>
      <c r="H651" s="141"/>
      <c r="I651" s="141"/>
      <c r="J651" s="141"/>
      <c r="K651" s="141"/>
      <c r="L651" s="141"/>
      <c r="M651" s="141"/>
      <c r="N651" s="141"/>
      <c r="O651" s="141"/>
      <c r="P651" s="141"/>
      <c r="Q651" s="141"/>
      <c r="R651" s="141"/>
      <c r="S651" s="141"/>
      <c r="T651" s="141"/>
      <c r="U651" s="141"/>
    </row>
    <row r="652" spans="1:21" x14ac:dyDescent="0.25">
      <c r="A652" s="141"/>
      <c r="B652" s="141"/>
      <c r="C652" s="141"/>
      <c r="D652" s="141"/>
      <c r="E652" s="141"/>
      <c r="F652" s="141"/>
      <c r="G652" s="141"/>
      <c r="H652" s="141"/>
      <c r="I652" s="141"/>
      <c r="J652" s="141"/>
      <c r="K652" s="141"/>
      <c r="L652" s="141"/>
      <c r="M652" s="141"/>
      <c r="N652" s="141"/>
      <c r="O652" s="141"/>
      <c r="P652" s="141"/>
      <c r="Q652" s="141"/>
      <c r="R652" s="141"/>
      <c r="S652" s="141"/>
      <c r="T652" s="141"/>
      <c r="U652" s="141"/>
    </row>
    <row r="653" spans="1:21" x14ac:dyDescent="0.25">
      <c r="A653" s="141"/>
      <c r="B653" s="141"/>
      <c r="C653" s="141"/>
      <c r="D653" s="141"/>
      <c r="E653" s="141"/>
      <c r="F653" s="141"/>
      <c r="G653" s="141"/>
      <c r="H653" s="141"/>
      <c r="I653" s="141"/>
      <c r="J653" s="141"/>
      <c r="K653" s="141"/>
      <c r="L653" s="141"/>
      <c r="M653" s="141"/>
      <c r="N653" s="141"/>
      <c r="O653" s="141"/>
      <c r="P653" s="141"/>
      <c r="Q653" s="141"/>
      <c r="R653" s="141"/>
      <c r="S653" s="141"/>
      <c r="T653" s="141"/>
      <c r="U653" s="141"/>
    </row>
    <row r="654" spans="1:21" x14ac:dyDescent="0.25">
      <c r="A654" s="141"/>
      <c r="B654" s="141"/>
      <c r="C654" s="141"/>
      <c r="D654" s="141"/>
      <c r="E654" s="141"/>
      <c r="F654" s="141"/>
      <c r="G654" s="141"/>
      <c r="H654" s="141"/>
      <c r="I654" s="141"/>
      <c r="J654" s="141"/>
      <c r="K654" s="141"/>
      <c r="L654" s="141"/>
      <c r="M654" s="141"/>
      <c r="N654" s="141"/>
      <c r="O654" s="141"/>
      <c r="P654" s="141"/>
      <c r="Q654" s="141"/>
      <c r="R654" s="141"/>
      <c r="S654" s="141"/>
      <c r="T654" s="141"/>
      <c r="U654" s="141"/>
    </row>
    <row r="655" spans="1:21" x14ac:dyDescent="0.25">
      <c r="A655" s="141"/>
      <c r="B655" s="141"/>
      <c r="C655" s="141"/>
      <c r="D655" s="141"/>
      <c r="E655" s="141"/>
      <c r="F655" s="141"/>
      <c r="G655" s="141"/>
      <c r="H655" s="141"/>
      <c r="I655" s="141"/>
      <c r="J655" s="141"/>
      <c r="K655" s="141"/>
      <c r="L655" s="141"/>
      <c r="M655" s="141"/>
      <c r="N655" s="141"/>
      <c r="O655" s="141"/>
      <c r="P655" s="141"/>
      <c r="Q655" s="141"/>
      <c r="R655" s="141"/>
      <c r="S655" s="141"/>
      <c r="T655" s="141"/>
      <c r="U655" s="141"/>
    </row>
    <row r="656" spans="1:21" x14ac:dyDescent="0.25">
      <c r="A656" s="141"/>
      <c r="B656" s="141"/>
      <c r="C656" s="141"/>
      <c r="D656" s="141"/>
      <c r="E656" s="141"/>
      <c r="F656" s="141"/>
      <c r="G656" s="141"/>
      <c r="H656" s="141"/>
      <c r="I656" s="141"/>
      <c r="J656" s="141"/>
      <c r="K656" s="141"/>
      <c r="L656" s="141"/>
      <c r="M656" s="141"/>
      <c r="N656" s="141"/>
      <c r="O656" s="141"/>
      <c r="P656" s="141"/>
      <c r="Q656" s="141"/>
      <c r="R656" s="141"/>
      <c r="S656" s="141"/>
      <c r="T656" s="141"/>
      <c r="U656" s="141"/>
    </row>
    <row r="657" spans="1:21" x14ac:dyDescent="0.25">
      <c r="A657" s="141"/>
      <c r="B657" s="141"/>
      <c r="C657" s="141"/>
      <c r="D657" s="141"/>
      <c r="E657" s="141"/>
      <c r="F657" s="141"/>
      <c r="G657" s="141"/>
      <c r="H657" s="141"/>
      <c r="I657" s="141"/>
      <c r="J657" s="141"/>
      <c r="K657" s="141"/>
      <c r="L657" s="141"/>
      <c r="M657" s="141"/>
      <c r="N657" s="141"/>
      <c r="O657" s="141"/>
      <c r="P657" s="141"/>
      <c r="Q657" s="141"/>
      <c r="R657" s="141"/>
      <c r="S657" s="141"/>
      <c r="T657" s="141"/>
      <c r="U657" s="141"/>
    </row>
    <row r="658" spans="1:21" x14ac:dyDescent="0.25">
      <c r="A658" s="141"/>
      <c r="B658" s="141"/>
      <c r="C658" s="141"/>
      <c r="D658" s="141"/>
      <c r="E658" s="141"/>
      <c r="F658" s="141"/>
      <c r="G658" s="141"/>
      <c r="H658" s="141"/>
      <c r="I658" s="141"/>
      <c r="J658" s="141"/>
      <c r="K658" s="141"/>
      <c r="L658" s="141"/>
      <c r="M658" s="141"/>
      <c r="N658" s="141"/>
      <c r="O658" s="141"/>
      <c r="P658" s="141"/>
      <c r="Q658" s="141"/>
      <c r="R658" s="141"/>
      <c r="S658" s="141"/>
      <c r="T658" s="141"/>
      <c r="U658" s="141"/>
    </row>
    <row r="659" spans="1:21" x14ac:dyDescent="0.25">
      <c r="A659" s="141"/>
      <c r="B659" s="141"/>
      <c r="C659" s="141"/>
      <c r="D659" s="141"/>
      <c r="E659" s="141"/>
      <c r="F659" s="141"/>
      <c r="G659" s="141"/>
      <c r="H659" s="141"/>
      <c r="I659" s="141"/>
      <c r="J659" s="141"/>
      <c r="K659" s="141"/>
      <c r="L659" s="141"/>
      <c r="M659" s="141"/>
      <c r="N659" s="141"/>
      <c r="O659" s="141"/>
      <c r="P659" s="141"/>
      <c r="Q659" s="141"/>
      <c r="R659" s="141"/>
      <c r="S659" s="141"/>
      <c r="T659" s="141"/>
      <c r="U659" s="141"/>
    </row>
    <row r="660" spans="1:21" x14ac:dyDescent="0.25">
      <c r="A660" s="141"/>
      <c r="B660" s="141"/>
      <c r="C660" s="141"/>
      <c r="D660" s="141"/>
      <c r="E660" s="141"/>
      <c r="F660" s="141"/>
      <c r="G660" s="141"/>
      <c r="H660" s="141"/>
      <c r="I660" s="141"/>
      <c r="J660" s="141"/>
      <c r="K660" s="141"/>
      <c r="L660" s="141"/>
      <c r="M660" s="141"/>
      <c r="N660" s="141"/>
      <c r="O660" s="141"/>
      <c r="P660" s="141"/>
      <c r="Q660" s="141"/>
      <c r="R660" s="141"/>
      <c r="S660" s="141"/>
      <c r="T660" s="141"/>
      <c r="U660" s="141"/>
    </row>
    <row r="661" spans="1:21" x14ac:dyDescent="0.25">
      <c r="A661" s="141"/>
      <c r="B661" s="141"/>
      <c r="C661" s="141"/>
      <c r="D661" s="141"/>
      <c r="E661" s="141"/>
      <c r="F661" s="141"/>
      <c r="G661" s="141"/>
      <c r="H661" s="141"/>
      <c r="I661" s="141"/>
      <c r="J661" s="141"/>
      <c r="K661" s="141"/>
      <c r="L661" s="141"/>
      <c r="M661" s="141"/>
      <c r="N661" s="141"/>
      <c r="O661" s="141"/>
      <c r="P661" s="141"/>
      <c r="Q661" s="141"/>
      <c r="R661" s="141"/>
      <c r="S661" s="141"/>
      <c r="T661" s="141"/>
      <c r="U661" s="141"/>
    </row>
    <row r="662" spans="1:21" x14ac:dyDescent="0.25">
      <c r="A662" s="141"/>
      <c r="B662" s="141"/>
      <c r="C662" s="141"/>
      <c r="D662" s="141"/>
      <c r="E662" s="141"/>
      <c r="F662" s="141"/>
      <c r="G662" s="141"/>
      <c r="H662" s="141"/>
      <c r="I662" s="141"/>
      <c r="J662" s="141"/>
      <c r="K662" s="141"/>
      <c r="L662" s="141"/>
      <c r="M662" s="141"/>
      <c r="N662" s="141"/>
      <c r="O662" s="141"/>
      <c r="P662" s="141"/>
      <c r="Q662" s="141"/>
      <c r="R662" s="141"/>
      <c r="S662" s="141"/>
      <c r="T662" s="141"/>
      <c r="U662" s="141"/>
    </row>
    <row r="663" spans="1:21" x14ac:dyDescent="0.25">
      <c r="A663" s="141"/>
      <c r="B663" s="141"/>
      <c r="C663" s="141"/>
      <c r="D663" s="141"/>
      <c r="E663" s="141"/>
      <c r="F663" s="141"/>
      <c r="G663" s="141"/>
      <c r="H663" s="141"/>
      <c r="I663" s="141"/>
      <c r="J663" s="141"/>
      <c r="K663" s="141"/>
      <c r="L663" s="141"/>
      <c r="M663" s="141"/>
      <c r="N663" s="141"/>
      <c r="O663" s="141"/>
      <c r="P663" s="141"/>
      <c r="Q663" s="141"/>
      <c r="R663" s="141"/>
      <c r="S663" s="141"/>
      <c r="T663" s="141"/>
      <c r="U663" s="141"/>
    </row>
    <row r="664" spans="1:21" x14ac:dyDescent="0.25">
      <c r="A664" s="141"/>
      <c r="B664" s="141"/>
      <c r="C664" s="141"/>
      <c r="D664" s="141"/>
      <c r="E664" s="141"/>
      <c r="F664" s="141"/>
      <c r="G664" s="141"/>
      <c r="H664" s="141"/>
      <c r="I664" s="141"/>
      <c r="J664" s="141"/>
      <c r="K664" s="141"/>
      <c r="L664" s="141"/>
      <c r="M664" s="141"/>
      <c r="N664" s="141"/>
      <c r="O664" s="141"/>
      <c r="P664" s="141"/>
      <c r="Q664" s="141"/>
      <c r="R664" s="141"/>
      <c r="S664" s="141"/>
      <c r="T664" s="141"/>
      <c r="U664" s="141"/>
    </row>
    <row r="665" spans="1:21" x14ac:dyDescent="0.25">
      <c r="A665" s="141"/>
      <c r="B665" s="141"/>
      <c r="C665" s="141"/>
      <c r="D665" s="141"/>
      <c r="E665" s="141"/>
      <c r="F665" s="141"/>
      <c r="G665" s="141"/>
      <c r="H665" s="141"/>
      <c r="I665" s="141"/>
      <c r="J665" s="141"/>
      <c r="K665" s="141"/>
      <c r="L665" s="141"/>
      <c r="M665" s="141"/>
      <c r="N665" s="141"/>
      <c r="O665" s="141"/>
      <c r="P665" s="141"/>
      <c r="Q665" s="141"/>
      <c r="R665" s="141"/>
      <c r="S665" s="141"/>
      <c r="T665" s="141"/>
      <c r="U665" s="141"/>
    </row>
    <row r="666" spans="1:21" x14ac:dyDescent="0.25">
      <c r="A666" s="141"/>
      <c r="B666" s="141"/>
      <c r="C666" s="141"/>
      <c r="D666" s="141"/>
      <c r="E666" s="141"/>
      <c r="F666" s="141"/>
      <c r="G666" s="141"/>
      <c r="H666" s="141"/>
      <c r="I666" s="141"/>
      <c r="J666" s="141"/>
      <c r="K666" s="141"/>
      <c r="L666" s="141"/>
      <c r="M666" s="141"/>
      <c r="N666" s="141"/>
      <c r="O666" s="141"/>
      <c r="P666" s="141"/>
      <c r="Q666" s="141"/>
      <c r="R666" s="141"/>
      <c r="S666" s="141"/>
      <c r="T666" s="141"/>
      <c r="U666" s="141"/>
    </row>
    <row r="667" spans="1:21" x14ac:dyDescent="0.25">
      <c r="A667" s="141"/>
      <c r="B667" s="141"/>
      <c r="C667" s="141"/>
      <c r="D667" s="141"/>
      <c r="E667" s="141"/>
      <c r="F667" s="141"/>
      <c r="G667" s="141"/>
      <c r="H667" s="141"/>
      <c r="I667" s="141"/>
      <c r="J667" s="141"/>
      <c r="K667" s="141"/>
      <c r="L667" s="141"/>
      <c r="M667" s="141"/>
      <c r="N667" s="141"/>
      <c r="O667" s="141"/>
      <c r="P667" s="141"/>
      <c r="Q667" s="141"/>
      <c r="R667" s="141"/>
      <c r="S667" s="141"/>
      <c r="T667" s="141"/>
      <c r="U667" s="141"/>
    </row>
    <row r="668" spans="1:21" x14ac:dyDescent="0.25">
      <c r="A668" s="141"/>
      <c r="B668" s="141"/>
      <c r="C668" s="141"/>
      <c r="D668" s="141"/>
      <c r="E668" s="141"/>
      <c r="F668" s="141"/>
      <c r="G668" s="141"/>
      <c r="H668" s="141"/>
      <c r="I668" s="141"/>
      <c r="J668" s="141"/>
      <c r="K668" s="141"/>
      <c r="L668" s="141"/>
      <c r="M668" s="141"/>
      <c r="N668" s="141"/>
      <c r="O668" s="141"/>
      <c r="P668" s="141"/>
      <c r="Q668" s="141"/>
      <c r="R668" s="141"/>
      <c r="S668" s="141"/>
      <c r="T668" s="141"/>
      <c r="U668" s="141"/>
    </row>
    <row r="669" spans="1:21" x14ac:dyDescent="0.25">
      <c r="A669" s="141"/>
      <c r="B669" s="141"/>
      <c r="C669" s="141"/>
      <c r="D669" s="141"/>
      <c r="E669" s="141"/>
      <c r="F669" s="141"/>
      <c r="G669" s="141"/>
      <c r="H669" s="141"/>
      <c r="I669" s="141"/>
      <c r="J669" s="141"/>
      <c r="K669" s="141"/>
      <c r="L669" s="141"/>
      <c r="M669" s="141"/>
      <c r="N669" s="141"/>
      <c r="O669" s="141"/>
      <c r="P669" s="141"/>
      <c r="Q669" s="141"/>
      <c r="R669" s="141"/>
      <c r="S669" s="141"/>
      <c r="T669" s="141"/>
      <c r="U669" s="141"/>
    </row>
    <row r="670" spans="1:21" x14ac:dyDescent="0.25">
      <c r="A670" s="141"/>
      <c r="B670" s="141"/>
      <c r="C670" s="141"/>
      <c r="D670" s="141"/>
      <c r="E670" s="141"/>
      <c r="F670" s="141"/>
      <c r="G670" s="141"/>
      <c r="H670" s="141"/>
      <c r="I670" s="141"/>
      <c r="J670" s="141"/>
      <c r="K670" s="141"/>
      <c r="L670" s="141"/>
      <c r="M670" s="141"/>
      <c r="N670" s="141"/>
      <c r="O670" s="141"/>
      <c r="P670" s="141"/>
      <c r="Q670" s="141"/>
      <c r="R670" s="141"/>
      <c r="S670" s="141"/>
      <c r="T670" s="141"/>
      <c r="U670" s="141"/>
    </row>
    <row r="671" spans="1:21" x14ac:dyDescent="0.25">
      <c r="A671" s="141"/>
      <c r="B671" s="141"/>
      <c r="C671" s="141"/>
      <c r="D671" s="141"/>
      <c r="E671" s="141"/>
      <c r="F671" s="141"/>
      <c r="G671" s="141"/>
      <c r="H671" s="141"/>
      <c r="I671" s="141"/>
      <c r="J671" s="141"/>
      <c r="K671" s="141"/>
      <c r="L671" s="141"/>
      <c r="M671" s="141"/>
      <c r="N671" s="141"/>
      <c r="O671" s="141"/>
      <c r="P671" s="141"/>
      <c r="Q671" s="141"/>
      <c r="R671" s="141"/>
      <c r="S671" s="141"/>
      <c r="T671" s="141"/>
      <c r="U671" s="141"/>
    </row>
    <row r="672" spans="1:21" x14ac:dyDescent="0.25">
      <c r="A672" s="141"/>
      <c r="B672" s="141"/>
      <c r="C672" s="141"/>
      <c r="D672" s="141"/>
      <c r="E672" s="141"/>
      <c r="F672" s="141"/>
      <c r="G672" s="141"/>
      <c r="H672" s="141"/>
      <c r="I672" s="141"/>
      <c r="J672" s="141"/>
      <c r="K672" s="141"/>
      <c r="L672" s="141"/>
      <c r="M672" s="141"/>
      <c r="N672" s="141"/>
      <c r="O672" s="141"/>
      <c r="P672" s="141"/>
      <c r="Q672" s="141"/>
      <c r="R672" s="141"/>
      <c r="S672" s="141"/>
      <c r="T672" s="141"/>
      <c r="U672" s="141"/>
    </row>
    <row r="673" spans="1:21" x14ac:dyDescent="0.25">
      <c r="A673" s="141"/>
      <c r="B673" s="141"/>
      <c r="C673" s="141"/>
      <c r="D673" s="141"/>
      <c r="E673" s="141"/>
      <c r="F673" s="141"/>
      <c r="G673" s="141"/>
      <c r="H673" s="141"/>
      <c r="I673" s="141"/>
      <c r="J673" s="141"/>
      <c r="K673" s="141"/>
      <c r="L673" s="141"/>
      <c r="M673" s="141"/>
      <c r="N673" s="141"/>
      <c r="O673" s="141"/>
      <c r="P673" s="141"/>
      <c r="Q673" s="141"/>
      <c r="R673" s="141"/>
      <c r="S673" s="141"/>
      <c r="T673" s="141"/>
      <c r="U673" s="141"/>
    </row>
    <row r="674" spans="1:21" x14ac:dyDescent="0.25">
      <c r="A674" s="141"/>
      <c r="B674" s="141"/>
      <c r="C674" s="141"/>
      <c r="D674" s="141"/>
      <c r="E674" s="141"/>
      <c r="F674" s="141"/>
      <c r="G674" s="141"/>
      <c r="H674" s="141"/>
      <c r="I674" s="141"/>
      <c r="J674" s="141"/>
      <c r="K674" s="141"/>
      <c r="L674" s="141"/>
      <c r="M674" s="141"/>
      <c r="N674" s="141"/>
      <c r="O674" s="141"/>
      <c r="P674" s="141"/>
      <c r="Q674" s="141"/>
      <c r="R674" s="141"/>
      <c r="S674" s="141"/>
      <c r="T674" s="141"/>
      <c r="U674" s="141"/>
    </row>
    <row r="675" spans="1:21" x14ac:dyDescent="0.25">
      <c r="A675" s="141"/>
      <c r="B675" s="141"/>
      <c r="C675" s="141"/>
      <c r="D675" s="141"/>
      <c r="E675" s="141"/>
      <c r="F675" s="141"/>
      <c r="G675" s="141"/>
      <c r="H675" s="141"/>
      <c r="I675" s="141"/>
      <c r="J675" s="141"/>
      <c r="K675" s="141"/>
      <c r="L675" s="141"/>
      <c r="M675" s="141"/>
      <c r="N675" s="141"/>
      <c r="O675" s="141"/>
      <c r="P675" s="141"/>
      <c r="Q675" s="141"/>
      <c r="R675" s="141"/>
      <c r="S675" s="141"/>
      <c r="T675" s="141"/>
      <c r="U675" s="141"/>
    </row>
    <row r="676" spans="1:21" x14ac:dyDescent="0.25">
      <c r="A676" s="141"/>
      <c r="B676" s="141"/>
      <c r="C676" s="141"/>
      <c r="D676" s="141"/>
      <c r="E676" s="141"/>
      <c r="F676" s="141"/>
      <c r="G676" s="141"/>
      <c r="H676" s="141"/>
      <c r="I676" s="141"/>
      <c r="J676" s="141"/>
      <c r="K676" s="141"/>
      <c r="L676" s="141"/>
      <c r="M676" s="141"/>
      <c r="N676" s="141"/>
      <c r="O676" s="141"/>
      <c r="P676" s="141"/>
      <c r="Q676" s="141"/>
      <c r="R676" s="141"/>
      <c r="S676" s="141"/>
      <c r="T676" s="141"/>
      <c r="U676" s="141"/>
    </row>
    <row r="677" spans="1:21" x14ac:dyDescent="0.25">
      <c r="A677" s="141"/>
      <c r="B677" s="141"/>
      <c r="C677" s="141"/>
      <c r="D677" s="141"/>
      <c r="E677" s="141"/>
      <c r="F677" s="141"/>
      <c r="G677" s="141"/>
      <c r="H677" s="141"/>
      <c r="I677" s="141"/>
      <c r="J677" s="141"/>
      <c r="K677" s="141"/>
      <c r="L677" s="141"/>
      <c r="M677" s="141"/>
      <c r="N677" s="141"/>
      <c r="O677" s="141"/>
      <c r="P677" s="141"/>
      <c r="Q677" s="141"/>
      <c r="R677" s="141"/>
      <c r="S677" s="141"/>
      <c r="T677" s="141"/>
      <c r="U677" s="141"/>
    </row>
    <row r="678" spans="1:21" x14ac:dyDescent="0.25">
      <c r="A678" s="141"/>
      <c r="B678" s="141"/>
      <c r="C678" s="141"/>
      <c r="D678" s="141"/>
      <c r="E678" s="141"/>
      <c r="F678" s="141"/>
      <c r="G678" s="141"/>
      <c r="H678" s="141"/>
      <c r="I678" s="141"/>
      <c r="J678" s="141"/>
      <c r="K678" s="141"/>
      <c r="L678" s="141"/>
      <c r="M678" s="141"/>
      <c r="N678" s="141"/>
      <c r="O678" s="141"/>
      <c r="P678" s="141"/>
      <c r="Q678" s="141"/>
      <c r="R678" s="141"/>
      <c r="S678" s="141"/>
      <c r="T678" s="141"/>
      <c r="U678" s="141"/>
    </row>
    <row r="679" spans="1:21" x14ac:dyDescent="0.25">
      <c r="A679" s="141"/>
      <c r="B679" s="141"/>
      <c r="C679" s="141"/>
      <c r="D679" s="141"/>
      <c r="E679" s="141"/>
      <c r="F679" s="141"/>
      <c r="G679" s="141"/>
      <c r="H679" s="141"/>
      <c r="I679" s="141"/>
      <c r="J679" s="141"/>
      <c r="K679" s="141"/>
      <c r="L679" s="141"/>
      <c r="M679" s="141"/>
      <c r="N679" s="141"/>
      <c r="O679" s="141"/>
      <c r="P679" s="141"/>
      <c r="Q679" s="141"/>
      <c r="R679" s="141"/>
      <c r="S679" s="141"/>
      <c r="T679" s="141"/>
      <c r="U679" s="141"/>
    </row>
  </sheetData>
  <sheetProtection password="CD7D" sheet="1" objects="1" scenarios="1" selectLockedCells="1"/>
  <mergeCells count="186">
    <mergeCell ref="M39:M40"/>
    <mergeCell ref="T39:T40"/>
    <mergeCell ref="AA39:AA40"/>
    <mergeCell ref="AH39:AH40"/>
    <mergeCell ref="AO39:AO40"/>
    <mergeCell ref="S37:S40"/>
    <mergeCell ref="T37:T38"/>
    <mergeCell ref="Y37:Y44"/>
    <mergeCell ref="AL29:AL44"/>
    <mergeCell ref="AM29:AM36"/>
    <mergeCell ref="AN29:AN32"/>
    <mergeCell ref="AH41:AH42"/>
    <mergeCell ref="AN41:AN44"/>
    <mergeCell ref="AO41:AO42"/>
    <mergeCell ref="AA43:AA44"/>
    <mergeCell ref="F31:F32"/>
    <mergeCell ref="M31:M32"/>
    <mergeCell ref="T31:T32"/>
    <mergeCell ref="AA31:AA32"/>
    <mergeCell ref="AH31:AH32"/>
    <mergeCell ref="Y29:Y36"/>
    <mergeCell ref="Z29:Z32"/>
    <mergeCell ref="AA29:AA30"/>
    <mergeCell ref="AE29:AE44"/>
    <mergeCell ref="AF29:AF36"/>
    <mergeCell ref="AG29:AG32"/>
    <mergeCell ref="Z37:Z40"/>
    <mergeCell ref="AA37:AA38"/>
    <mergeCell ref="AF37:AF44"/>
    <mergeCell ref="AG37:AG40"/>
    <mergeCell ref="M29:M30"/>
    <mergeCell ref="Q29:Q44"/>
    <mergeCell ref="R29:R36"/>
    <mergeCell ref="S29:S32"/>
    <mergeCell ref="M35:M36"/>
    <mergeCell ref="T35:T36"/>
    <mergeCell ref="AA35:AA36"/>
    <mergeCell ref="AH35:AH36"/>
    <mergeCell ref="AH37:AH38"/>
    <mergeCell ref="L37:L40"/>
    <mergeCell ref="M37:M38"/>
    <mergeCell ref="R37:R44"/>
    <mergeCell ref="AH25:AH26"/>
    <mergeCell ref="T29:T30"/>
    <mergeCell ref="X29:X44"/>
    <mergeCell ref="C29:C44"/>
    <mergeCell ref="D29:D36"/>
    <mergeCell ref="E29:E32"/>
    <mergeCell ref="F29:F30"/>
    <mergeCell ref="J29:J44"/>
    <mergeCell ref="K29:K36"/>
    <mergeCell ref="D37:D44"/>
    <mergeCell ref="E37:E40"/>
    <mergeCell ref="F37:F38"/>
    <mergeCell ref="K37:K44"/>
    <mergeCell ref="AH29:AH30"/>
    <mergeCell ref="E33:E36"/>
    <mergeCell ref="F33:F34"/>
    <mergeCell ref="L33:L36"/>
    <mergeCell ref="M33:M34"/>
    <mergeCell ref="S33:S36"/>
    <mergeCell ref="T33:T34"/>
    <mergeCell ref="AH43:AH44"/>
    <mergeCell ref="Z33:Z36"/>
    <mergeCell ref="AA33:AA34"/>
    <mergeCell ref="AG33:AG36"/>
    <mergeCell ref="AH33:AH34"/>
    <mergeCell ref="AH21:AH22"/>
    <mergeCell ref="AM21:AM28"/>
    <mergeCell ref="AN21:AN24"/>
    <mergeCell ref="AO21:AO22"/>
    <mergeCell ref="F23:F24"/>
    <mergeCell ref="M23:M24"/>
    <mergeCell ref="T23:T24"/>
    <mergeCell ref="AA23:AA24"/>
    <mergeCell ref="AH23:AH24"/>
    <mergeCell ref="AO23:AO24"/>
    <mergeCell ref="T21:T22"/>
    <mergeCell ref="Y21:Y28"/>
    <mergeCell ref="Z21:Z24"/>
    <mergeCell ref="AA21:AA22"/>
    <mergeCell ref="AF21:AF28"/>
    <mergeCell ref="AG21:AG24"/>
    <mergeCell ref="AN25:AN28"/>
    <mergeCell ref="AO25:AO26"/>
    <mergeCell ref="F27:F28"/>
    <mergeCell ref="M27:M28"/>
    <mergeCell ref="T27:T28"/>
    <mergeCell ref="AA27:AA28"/>
    <mergeCell ref="AH27:AH28"/>
    <mergeCell ref="AO27:AO28"/>
    <mergeCell ref="K21:K28"/>
    <mergeCell ref="L21:L24"/>
    <mergeCell ref="M21:M22"/>
    <mergeCell ref="R21:R28"/>
    <mergeCell ref="E25:E28"/>
    <mergeCell ref="F25:F26"/>
    <mergeCell ref="L25:L28"/>
    <mergeCell ref="M25:M26"/>
    <mergeCell ref="J13:J28"/>
    <mergeCell ref="K13:K20"/>
    <mergeCell ref="L13:L16"/>
    <mergeCell ref="M13:M14"/>
    <mergeCell ref="P13:P44"/>
    <mergeCell ref="Q13:Q28"/>
    <mergeCell ref="M15:M16"/>
    <mergeCell ref="L17:L20"/>
    <mergeCell ref="M17:M18"/>
    <mergeCell ref="L29:L32"/>
    <mergeCell ref="E41:E44"/>
    <mergeCell ref="F41:F42"/>
    <mergeCell ref="L41:L44"/>
    <mergeCell ref="M41:M42"/>
    <mergeCell ref="F43:F44"/>
    <mergeCell ref="M43:M44"/>
    <mergeCell ref="AO17:AO18"/>
    <mergeCell ref="F19:F20"/>
    <mergeCell ref="M19:M20"/>
    <mergeCell ref="T19:T20"/>
    <mergeCell ref="AA19:AA20"/>
    <mergeCell ref="AH19:AH20"/>
    <mergeCell ref="AO19:AO20"/>
    <mergeCell ref="R13:R20"/>
    <mergeCell ref="S13:S16"/>
    <mergeCell ref="T13:T14"/>
    <mergeCell ref="W13:W44"/>
    <mergeCell ref="X13:X28"/>
    <mergeCell ref="Y13:Y20"/>
    <mergeCell ref="T15:T16"/>
    <mergeCell ref="S17:S20"/>
    <mergeCell ref="T17:T18"/>
    <mergeCell ref="S21:S24"/>
    <mergeCell ref="S25:S28"/>
    <mergeCell ref="T25:T26"/>
    <mergeCell ref="S41:S44"/>
    <mergeCell ref="AK13:AK44"/>
    <mergeCell ref="AL13:AL28"/>
    <mergeCell ref="AM13:AM20"/>
    <mergeCell ref="AN13:AN16"/>
    <mergeCell ref="AO13:AO14"/>
    <mergeCell ref="AH15:AH16"/>
    <mergeCell ref="AO15:AO16"/>
    <mergeCell ref="AH17:AH18"/>
    <mergeCell ref="AN17:AN20"/>
    <mergeCell ref="AO31:AO32"/>
    <mergeCell ref="AO43:AO44"/>
    <mergeCell ref="AN33:AN36"/>
    <mergeCell ref="AO33:AO34"/>
    <mergeCell ref="AO29:AO30"/>
    <mergeCell ref="AO35:AO36"/>
    <mergeCell ref="AM37:AM44"/>
    <mergeCell ref="AN37:AN40"/>
    <mergeCell ref="AO37:AO38"/>
    <mergeCell ref="AG13:AG16"/>
    <mergeCell ref="AA15:AA16"/>
    <mergeCell ref="Z17:Z20"/>
    <mergeCell ref="AA17:AA18"/>
    <mergeCell ref="AG17:AG20"/>
    <mergeCell ref="Z25:Z28"/>
    <mergeCell ref="AA25:AA26"/>
    <mergeCell ref="AG25:AG28"/>
    <mergeCell ref="AH13:AH14"/>
    <mergeCell ref="T41:T42"/>
    <mergeCell ref="T43:T44"/>
    <mergeCell ref="Z41:Z44"/>
    <mergeCell ref="AA41:AA42"/>
    <mergeCell ref="AG41:AG44"/>
    <mergeCell ref="B13:B44"/>
    <mergeCell ref="C13:C28"/>
    <mergeCell ref="D13:D20"/>
    <mergeCell ref="E13:E16"/>
    <mergeCell ref="F13:F14"/>
    <mergeCell ref="I13:I44"/>
    <mergeCell ref="F15:F16"/>
    <mergeCell ref="E17:E20"/>
    <mergeCell ref="F17:F18"/>
    <mergeCell ref="D21:D28"/>
    <mergeCell ref="E21:E24"/>
    <mergeCell ref="F21:F22"/>
    <mergeCell ref="F35:F36"/>
    <mergeCell ref="F39:F40"/>
    <mergeCell ref="Z13:Z16"/>
    <mergeCell ref="AA13:AA14"/>
    <mergeCell ref="AD13:AD44"/>
    <mergeCell ref="AE13:AE28"/>
    <mergeCell ref="AF13:AF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0" workbookViewId="0">
      <selection activeCell="W14" sqref="W14"/>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111</vt:i4>
      </vt:variant>
    </vt:vector>
  </HeadingPairs>
  <TitlesOfParts>
    <vt:vector size="116" baseType="lpstr">
      <vt:lpstr>MAX16990_2</vt:lpstr>
      <vt:lpstr>Graph_data</vt:lpstr>
      <vt:lpstr>support</vt:lpstr>
      <vt:lpstr>STANDARD RESISTOR TABLE</vt:lpstr>
      <vt:lpstr>Bode Plots</vt:lpstr>
      <vt:lpstr>Acm</vt:lpstr>
      <vt:lpstr>AddPole</vt:lpstr>
      <vt:lpstr>Aea</vt:lpstr>
      <vt:lpstr>Afb</vt:lpstr>
      <vt:lpstr>Ccomp</vt:lpstr>
      <vt:lpstr>Ccomp2</vt:lpstr>
      <vt:lpstr>CO</vt:lpstr>
      <vt:lpstr>Cout_cal</vt:lpstr>
      <vt:lpstr>CS_gain</vt:lpstr>
      <vt:lpstr>Cslope</vt:lpstr>
      <vt:lpstr>Cslope_calc</vt:lpstr>
      <vt:lpstr>D</vt:lpstr>
      <vt:lpstr>DC_gain</vt:lpstr>
      <vt:lpstr>Dcomp</vt:lpstr>
      <vt:lpstr>Dmn</vt:lpstr>
      <vt:lpstr>Dmx</vt:lpstr>
      <vt:lpstr>E</vt:lpstr>
      <vt:lpstr>ESR</vt:lpstr>
      <vt:lpstr>ESRcout_calc</vt:lpstr>
      <vt:lpstr>F</vt:lpstr>
      <vt:lpstr>Fco</vt:lpstr>
      <vt:lpstr>Fco_t</vt:lpstr>
      <vt:lpstr>Fmn</vt:lpstr>
      <vt:lpstr>Fmx</vt:lpstr>
      <vt:lpstr>Fp2ea</vt:lpstr>
      <vt:lpstr>Fpea</vt:lpstr>
      <vt:lpstr>Fpload</vt:lpstr>
      <vt:lpstr>Fzea</vt:lpstr>
      <vt:lpstr>Fzesr</vt:lpstr>
      <vt:lpstr>Fzrhp</vt:lpstr>
      <vt:lpstr>gm</vt:lpstr>
      <vt:lpstr>IC</vt:lpstr>
      <vt:lpstr>Ic_mx</vt:lpstr>
      <vt:lpstr>Icin_rms</vt:lpstr>
      <vt:lpstr>Icin_rms_mx</vt:lpstr>
      <vt:lpstr>Id_avg</vt:lpstr>
      <vt:lpstr>Id_avg_mx</vt:lpstr>
      <vt:lpstr>IL_avg</vt:lpstr>
      <vt:lpstr>IL_avg_mn</vt:lpstr>
      <vt:lpstr>IL_avg_mx</vt:lpstr>
      <vt:lpstr>IL_pk</vt:lpstr>
      <vt:lpstr>IL_pk_mx</vt:lpstr>
      <vt:lpstr>IL_pp</vt:lpstr>
      <vt:lpstr>IL_pp_mn</vt:lpstr>
      <vt:lpstr>IL_pp_mx</vt:lpstr>
      <vt:lpstr>IL_rms</vt:lpstr>
      <vt:lpstr>IL_rms_mx</vt:lpstr>
      <vt:lpstr>IL_v</vt:lpstr>
      <vt:lpstr>IL_v_mx</vt:lpstr>
      <vt:lpstr>Io</vt:lpstr>
      <vt:lpstr>Io_mn</vt:lpstr>
      <vt:lpstr>Io_mx</vt:lpstr>
      <vt:lpstr>Ioutc</vt:lpstr>
      <vt:lpstr>Iq_rms</vt:lpstr>
      <vt:lpstr>Iq_rms_mx</vt:lpstr>
      <vt:lpstr>Islope</vt:lpstr>
      <vt:lpstr>Islope_mn</vt:lpstr>
      <vt:lpstr>Islope_mx</vt:lpstr>
      <vt:lpstr>Kr</vt:lpstr>
      <vt:lpstr>Kr_mx</vt:lpstr>
      <vt:lpstr>L</vt:lpstr>
      <vt:lpstr>Lc_mx</vt:lpstr>
      <vt:lpstr>Lmn</vt:lpstr>
      <vt:lpstr>Lmx</vt:lpstr>
      <vt:lpstr>N</vt:lpstr>
      <vt:lpstr>Pd</vt:lpstr>
      <vt:lpstr>Pd_mx</vt:lpstr>
      <vt:lpstr>PL</vt:lpstr>
      <vt:lpstr>PL_mx</vt:lpstr>
      <vt:lpstr>PM</vt:lpstr>
      <vt:lpstr>Pq</vt:lpstr>
      <vt:lpstr>Pq_cond</vt:lpstr>
      <vt:lpstr>Pq_cond_mx</vt:lpstr>
      <vt:lpstr>Pq_mx</vt:lpstr>
      <vt:lpstr>Pq_sw</vt:lpstr>
      <vt:lpstr>Pq_sw_mx</vt:lpstr>
      <vt:lpstr>PRs</vt:lpstr>
      <vt:lpstr>PRs_mx</vt:lpstr>
      <vt:lpstr>Q</vt:lpstr>
      <vt:lpstr>r_mx</vt:lpstr>
      <vt:lpstr>Rcomp</vt:lpstr>
      <vt:lpstr>Rds_on</vt:lpstr>
      <vt:lpstr>Rds_on_mx</vt:lpstr>
      <vt:lpstr>RL</vt:lpstr>
      <vt:lpstr>RL_mx</vt:lpstr>
      <vt:lpstr>RO</vt:lpstr>
      <vt:lpstr>Rosc</vt:lpstr>
      <vt:lpstr>Rosc_calc</vt:lpstr>
      <vt:lpstr>Rout</vt:lpstr>
      <vt:lpstr>Rs_calc</vt:lpstr>
      <vt:lpstr>Rsense</vt:lpstr>
      <vt:lpstr>Rsense_mn</vt:lpstr>
      <vt:lpstr>Rsense_mx</vt:lpstr>
      <vt:lpstr>Rslope</vt:lpstr>
      <vt:lpstr>Rslope_mn</vt:lpstr>
      <vt:lpstr>Rslope_mx</vt:lpstr>
      <vt:lpstr>Se</vt:lpstr>
      <vt:lpstr>Sn</vt:lpstr>
      <vt:lpstr>Tqsw</vt:lpstr>
      <vt:lpstr>Vd</vt:lpstr>
      <vt:lpstr>Vd_mn</vt:lpstr>
      <vt:lpstr>Vd_mx</vt:lpstr>
      <vt:lpstr>VI</vt:lpstr>
      <vt:lpstr>Vin</vt:lpstr>
      <vt:lpstr>Vin_mn</vt:lpstr>
      <vt:lpstr>Vin_mx</vt:lpstr>
      <vt:lpstr>Vin_rip_mx</vt:lpstr>
      <vt:lpstr>Vlim_mn</vt:lpstr>
      <vt:lpstr>Vo</vt:lpstr>
      <vt:lpstr>Vo_rip_mx</vt:lpstr>
      <vt:lpstr>Vref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andrea.longobardi</dc:creator>
  <cp:lastModifiedBy>Maxim User</cp:lastModifiedBy>
  <dcterms:created xsi:type="dcterms:W3CDTF">2012-06-20T07:44:10Z</dcterms:created>
  <dcterms:modified xsi:type="dcterms:W3CDTF">2013-03-20T23:01:15Z</dcterms:modified>
</cp:coreProperties>
</file>