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20" windowWidth="3630" windowHeight="4575"/>
  </bookViews>
  <sheets>
    <sheet name="Total Error Calculations" sheetId="1" r:id="rId1"/>
    <sheet name="MAX1492X Error Calculations" sheetId="2" r:id="rId2"/>
  </sheets>
  <calcPr calcId="145621"/>
</workbook>
</file>

<file path=xl/calcChain.xml><?xml version="1.0" encoding="utf-8"?>
<calcChain xmlns="http://schemas.openxmlformats.org/spreadsheetml/2006/main">
  <c r="D34" i="1" l="1"/>
  <c r="D36" i="1"/>
  <c r="E20" i="1" l="1"/>
  <c r="E21" i="1"/>
  <c r="A18" i="1" l="1"/>
  <c r="A36" i="1" l="1"/>
  <c r="A34" i="1"/>
  <c r="E10" i="1" l="1"/>
  <c r="C11" i="2"/>
  <c r="E14" i="1" l="1"/>
  <c r="E15" i="1"/>
  <c r="A11" i="1"/>
  <c r="A25" i="1" l="1"/>
  <c r="F3" i="1"/>
  <c r="J3" i="1" s="1"/>
  <c r="I3" i="1"/>
  <c r="L3" i="1"/>
  <c r="I4" i="1"/>
  <c r="L4" i="1"/>
  <c r="M3" i="1" l="1"/>
  <c r="D32" i="1" s="1"/>
  <c r="E5" i="1"/>
  <c r="B6" i="1"/>
  <c r="E29" i="1" l="1"/>
  <c r="E30" i="1"/>
  <c r="A24" i="1"/>
  <c r="A27" i="1"/>
  <c r="A23" i="1"/>
  <c r="C12" i="2"/>
  <c r="C10" i="2"/>
  <c r="C9" i="2"/>
  <c r="C15" i="2" l="1"/>
  <c r="F15" i="2" s="1"/>
  <c r="C14" i="2"/>
  <c r="F14" i="2" s="1"/>
  <c r="C13" i="2"/>
  <c r="C17" i="2" l="1"/>
  <c r="C16" i="2"/>
  <c r="C18" i="2" s="1"/>
  <c r="C19" i="2" s="1"/>
  <c r="C20" i="2" l="1"/>
  <c r="D35" i="1" l="1"/>
  <c r="D37" i="1" l="1"/>
</calcChain>
</file>

<file path=xl/sharedStrings.xml><?xml version="1.0" encoding="utf-8"?>
<sst xmlns="http://schemas.openxmlformats.org/spreadsheetml/2006/main" count="160" uniqueCount="101">
  <si>
    <t>LSB</t>
  </si>
  <si>
    <t>mV</t>
  </si>
  <si>
    <t>Least Significant Bit (LSB)</t>
  </si>
  <si>
    <r>
      <t>Operating Temperature Range (T</t>
    </r>
    <r>
      <rPr>
        <vertAlign val="subscript"/>
        <sz val="10"/>
        <color theme="1"/>
        <rFont val="Arial"/>
        <family val="2"/>
      </rPr>
      <t>A</t>
    </r>
    <r>
      <rPr>
        <sz val="10"/>
        <color theme="1"/>
        <rFont val="Arial"/>
        <family val="2"/>
      </rPr>
      <t>)</t>
    </r>
  </si>
  <si>
    <r>
      <t>Reference Voltage (V</t>
    </r>
    <r>
      <rPr>
        <vertAlign val="subscript"/>
        <sz val="10"/>
        <color theme="1"/>
        <rFont val="Arial"/>
        <family val="2"/>
      </rPr>
      <t>REF</t>
    </r>
    <r>
      <rPr>
        <sz val="10"/>
        <color theme="1"/>
        <rFont val="Arial"/>
        <family val="2"/>
      </rPr>
      <t>)</t>
    </r>
  </si>
  <si>
    <t>Units</t>
  </si>
  <si>
    <t>Error from Reference</t>
  </si>
  <si>
    <t>Error (mV)</t>
  </si>
  <si>
    <t>Minimum</t>
  </si>
  <si>
    <t>Maximum</t>
  </si>
  <si>
    <t>°C</t>
  </si>
  <si>
    <t>Total Error from Reference</t>
  </si>
  <si>
    <t>Total Error from ADC</t>
  </si>
  <si>
    <t>Amplifier Gain Error</t>
  </si>
  <si>
    <t>Output Voltage Accuracy</t>
  </si>
  <si>
    <t>%</t>
  </si>
  <si>
    <t>System Accuracy</t>
  </si>
  <si>
    <t>V</t>
  </si>
  <si>
    <t>Value</t>
  </si>
  <si>
    <t>Specification</t>
  </si>
  <si>
    <t>µV/°C</t>
  </si>
  <si>
    <t>ppm/°C</t>
  </si>
  <si>
    <t>Parameters</t>
  </si>
  <si>
    <t>Description</t>
  </si>
  <si>
    <t>Maximum Cell Voltage</t>
  </si>
  <si>
    <t>Highest voltage each cell will reach in normal operation.</t>
  </si>
  <si>
    <t>Added resistance</t>
  </si>
  <si>
    <t>Ω</t>
  </si>
  <si>
    <t>Sampling Time*</t>
  </si>
  <si>
    <t>ms</t>
  </si>
  <si>
    <t>Time that the MAX14921 has to simultaneously sample every channel. The default sample time for the EV kit is 4ms.</t>
  </si>
  <si>
    <t>Repeat Interval Time</t>
  </si>
  <si>
    <t>Default for the EV kit is 10msec</t>
  </si>
  <si>
    <t>Sampling Capacitor</t>
  </si>
  <si>
    <t>µF</t>
  </si>
  <si>
    <t>Default for the EV kit is 1.2uF</t>
  </si>
  <si>
    <t>Voltage change allowed</t>
  </si>
  <si>
    <t>How much variation based on load changes within one repeat time</t>
  </si>
  <si>
    <t>First Sample**</t>
  </si>
  <si>
    <t>Maximum Capacitance</t>
  </si>
  <si>
    <t>Maximum capacitance based on "Full Derating" category above.</t>
  </si>
  <si>
    <t>Sample Time (seconds)</t>
  </si>
  <si>
    <t>s</t>
  </si>
  <si>
    <t>Converting Sample time to seconds rather than milliseconds as entered above.</t>
  </si>
  <si>
    <t>Total R</t>
  </si>
  <si>
    <t>Resistance internal to MAX14921 is 150Ω. Sum of external and internal resistances is multiplied by two to account for both terminals of each cell.</t>
  </si>
  <si>
    <t>RC</t>
  </si>
  <si>
    <t>RC value of the selected and internal components.</t>
  </si>
  <si>
    <r>
      <t>V</t>
    </r>
    <r>
      <rPr>
        <vertAlign val="subscript"/>
        <sz val="11"/>
        <color theme="1"/>
        <rFont val="Calibri"/>
        <family val="2"/>
        <scheme val="minor"/>
      </rPr>
      <t>ERROR</t>
    </r>
  </si>
  <si>
    <t xml:space="preserve">Maximum expected voltage error due to RC charging curve. </t>
  </si>
  <si>
    <t>Sample Time Required for 1mV Accuracy</t>
  </si>
  <si>
    <t>Sample Time Required for 100µV Accuracy</t>
  </si>
  <si>
    <t>Voltage Droop</t>
  </si>
  <si>
    <t>Hold Time</t>
  </si>
  <si>
    <t>Maximum time that the MAX14921 must hold each sample before read out by the ADC.</t>
  </si>
  <si>
    <t>Minimum Capacitance</t>
  </si>
  <si>
    <t>Minimum capacitance based on "Full Derating" category above.</t>
  </si>
  <si>
    <t>Droop Voltage</t>
  </si>
  <si>
    <t>Maximum voltage droop expected based on hold time and worst-case capacitance.</t>
  </si>
  <si>
    <t>Running Accuracy***</t>
  </si>
  <si>
    <r>
      <rPr>
        <sz val="11"/>
        <color theme="1"/>
        <rFont val="Calibri"/>
        <family val="2"/>
      </rPr>
      <t>Δ</t>
    </r>
    <r>
      <rPr>
        <sz val="11"/>
        <color theme="1"/>
        <rFont val="Calibri"/>
        <family val="2"/>
        <scheme val="minor"/>
      </rPr>
      <t>V</t>
    </r>
  </si>
  <si>
    <t>Maximum expected voltage variation based on load changes within one repeat time plus droop voltage during hold time.</t>
  </si>
  <si>
    <t>Total voltage error accounting for running accuracy error, voltage change due to load, and voltage droop during hold time.</t>
  </si>
  <si>
    <t>Offset Temperature Coefficient</t>
  </si>
  <si>
    <t>Gain Error Temperature Coefficient</t>
  </si>
  <si>
    <t>Error from Parasitic Capacitance**</t>
  </si>
  <si>
    <t>Measurement Error *</t>
  </si>
  <si>
    <t>Series resistance selected external to the MAX14921. The MAX14921 evaluation kit uses 100 Ohms.</t>
  </si>
  <si>
    <t>Full Derating of Capacitor</t>
  </si>
  <si>
    <t>Maximum variance in capacitance over full temperature and voltage range. Default for the EV kit capacitor chosen is 25%</t>
  </si>
  <si>
    <t>*It is recommended to allocate spare time in a repeat interval to the sampling time. This will both increase accuracy of the initial reading and decrease voltage droop since there is less read time in which droop occurs.
**First sample error will be greater than the running accuracy since the capacitor must charge from 0V on initial sampling, while the voltage is not fully discharged between repeat intervals thereafter.
***A good estimate with the assumption that there is little difference between successive samples.</t>
  </si>
  <si>
    <t>Bits</t>
  </si>
  <si>
    <t>Resolution (ADC)</t>
  </si>
  <si>
    <t>Tolerance</t>
  </si>
  <si>
    <t>R1</t>
  </si>
  <si>
    <t>Max/Min (Ω)</t>
  </si>
  <si>
    <r>
      <t>Maximum V</t>
    </r>
    <r>
      <rPr>
        <vertAlign val="subscript"/>
        <sz val="10"/>
        <color theme="1"/>
        <rFont val="Arial"/>
        <family val="2"/>
      </rPr>
      <t>ERROR</t>
    </r>
    <r>
      <rPr>
        <sz val="10"/>
        <color theme="1"/>
        <rFont val="Arial"/>
        <family val="2"/>
      </rPr>
      <t xml:space="preserve"> (mV)</t>
    </r>
  </si>
  <si>
    <t>Voltage Divider</t>
  </si>
  <si>
    <t>IN</t>
  </si>
  <si>
    <t>OUT</t>
  </si>
  <si>
    <t>R2 (Chosen)</t>
  </si>
  <si>
    <t>R2 (Exact)</t>
  </si>
  <si>
    <t>Error from Voltage Divider</t>
  </si>
  <si>
    <t>Total Error from Voltage Divider</t>
  </si>
  <si>
    <t>Voltage Divider Required?</t>
  </si>
  <si>
    <t>Yes</t>
  </si>
  <si>
    <t>No</t>
  </si>
  <si>
    <t>TUE Incorporates These Errors</t>
  </si>
  <si>
    <t>Multiplier for IN/OUT Ratio</t>
  </si>
  <si>
    <t>ADC Error</t>
  </si>
  <si>
    <t>Total Temperature Drift Across Temperature Range</t>
  </si>
  <si>
    <r>
      <t xml:space="preserve">Application Parameters
</t>
    </r>
    <r>
      <rPr>
        <sz val="11"/>
        <color rgb="FFFF0000"/>
        <rFont val="Calibri"/>
        <family val="2"/>
        <scheme val="minor"/>
      </rPr>
      <t>(User Input)</t>
    </r>
  </si>
  <si>
    <t>USER INPUT</t>
  </si>
  <si>
    <t>Error from MAX1492X</t>
  </si>
  <si>
    <t>Total Error from MAX1492X</t>
  </si>
  <si>
    <t>Typical Error</t>
  </si>
  <si>
    <t>Maximum Error</t>
  </si>
  <si>
    <t>3-Sigma Error</t>
  </si>
  <si>
    <t>6-Sigma Error</t>
  </si>
  <si>
    <t>Only one of these values may be non-zero.</t>
  </si>
  <si>
    <t>*Data taken from "MAX14921 Error Calculations" tab.
**With good layout practices, error from parasitic capacitance may be negligible. This is the case for MAX14921EVKIT#, and the error is assumed to be zero.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</si>
</sst>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00000"/>
    <numFmt numFmtId="165" formatCode="0.00000"/>
    <numFmt numFmtId="166" formatCode="0.000"/>
    <numFmt numFmtId="167" formatCode="0.000000"/>
    <numFmt numFmtId="168" formatCode="0.00000000000000000"/>
  </numFmts>
  <fonts count="14" x14ac:knownFonts="1">
    <font>
      <sz val="11"/>
      <color theme="1"/>
      <name val="Calibri"/>
      <family val="2"/>
      <scheme val="minor"/>
    </font>
    <font>
      <sz val="10"/>
      <color theme="1"/>
      <name val="Arial"/>
      <family val="2"/>
    </font>
    <font>
      <vertAlign val="subscript"/>
      <sz val="10"/>
      <color theme="1"/>
      <name val="Arial"/>
      <family val="2"/>
    </font>
    <font>
      <b/>
      <sz val="10"/>
      <color rgb="FFFF0000"/>
      <name val="Arial"/>
      <family val="2"/>
    </font>
    <font>
      <b/>
      <sz val="10"/>
      <color theme="1"/>
      <name val="Arial"/>
      <family val="2"/>
    </font>
    <font>
      <sz val="10"/>
      <name val="Arial"/>
      <family val="2"/>
    </font>
    <font>
      <sz val="11"/>
      <color theme="1"/>
      <name val="Calibri"/>
      <family val="2"/>
    </font>
    <font>
      <vertAlign val="subscript"/>
      <sz val="11"/>
      <color theme="1"/>
      <name val="Calibri"/>
      <family val="2"/>
      <scheme val="minor"/>
    </font>
    <font>
      <b/>
      <u/>
      <sz val="11"/>
      <color theme="1"/>
      <name val="Calibri"/>
      <family val="2"/>
      <scheme val="minor"/>
    </font>
    <font>
      <b/>
      <sz val="12"/>
      <color theme="1"/>
      <name val="Arial"/>
      <family val="2"/>
    </font>
    <font>
      <sz val="11"/>
      <color rgb="FFFF0000"/>
      <name val="Calibri"/>
      <family val="2"/>
      <scheme val="minor"/>
    </font>
    <font>
      <sz val="11"/>
      <name val="Calibri"/>
      <family val="2"/>
      <scheme val="minor"/>
    </font>
    <font>
      <sz val="10"/>
      <color rgb="FFFF0000"/>
      <name val="Arial"/>
      <family val="2"/>
    </font>
    <font>
      <b/>
      <sz val="11"/>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00B2A9"/>
        <bgColor indexed="64"/>
      </patternFill>
    </fill>
    <fill>
      <patternFill patternType="solid">
        <fgColor theme="0" tint="-0.499984740745262"/>
        <bgColor indexed="64"/>
      </patternFill>
    </fill>
    <fill>
      <patternFill patternType="solid">
        <fgColor theme="1"/>
        <bgColor indexed="64"/>
      </patternFill>
    </fill>
  </fills>
  <borders count="33">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style="thin">
        <color auto="1"/>
      </bottom>
      <diagonal/>
    </border>
    <border>
      <left style="thick">
        <color auto="1"/>
      </left>
      <right style="thick">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ck">
        <color auto="1"/>
      </right>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top/>
      <bottom style="thick">
        <color auto="1"/>
      </bottom>
      <diagonal/>
    </border>
  </borders>
  <cellStyleXfs count="1">
    <xf numFmtId="0" fontId="0" fillId="0" borderId="0"/>
  </cellStyleXfs>
  <cellXfs count="179">
    <xf numFmtId="0" fontId="0" fillId="0" borderId="0" xfId="0"/>
    <xf numFmtId="0" fontId="1" fillId="0" borderId="0" xfId="0" applyFont="1"/>
    <xf numFmtId="0" fontId="3" fillId="0" borderId="0" xfId="0" applyFont="1"/>
    <xf numFmtId="0" fontId="1" fillId="0" borderId="4" xfId="0" applyFont="1" applyBorder="1"/>
    <xf numFmtId="2" fontId="3" fillId="0" borderId="0" xfId="0" applyNumberFormat="1" applyFont="1" applyAlignment="1">
      <alignment horizontal="center"/>
    </xf>
    <xf numFmtId="0" fontId="1" fillId="0" borderId="5" xfId="0" applyFont="1" applyBorder="1"/>
    <xf numFmtId="0" fontId="1" fillId="0" borderId="1" xfId="0" applyFont="1" applyBorder="1"/>
    <xf numFmtId="0" fontId="1" fillId="0" borderId="0" xfId="0" applyFont="1" applyFill="1"/>
    <xf numFmtId="0" fontId="1" fillId="0" borderId="1" xfId="0" quotePrefix="1" applyFont="1" applyBorder="1" applyAlignment="1">
      <alignment horizontal="center"/>
    </xf>
    <xf numFmtId="0" fontId="1" fillId="0" borderId="19" xfId="0" applyFont="1" applyBorder="1" applyAlignment="1">
      <alignment horizontal="center" vertical="center"/>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xf>
    <xf numFmtId="0" fontId="1" fillId="0" borderId="7" xfId="0" applyFont="1" applyBorder="1" applyAlignment="1">
      <alignment vertical="center"/>
    </xf>
    <xf numFmtId="0" fontId="4" fillId="3" borderId="2" xfId="0" applyFont="1" applyFill="1" applyBorder="1" applyAlignment="1">
      <alignment horizontal="left" vertical="center"/>
    </xf>
    <xf numFmtId="0" fontId="4" fillId="3" borderId="4" xfId="0" applyFont="1" applyFill="1" applyBorder="1" applyAlignment="1">
      <alignment horizontal="left" vertical="center"/>
    </xf>
    <xf numFmtId="0" fontId="4" fillId="2" borderId="1" xfId="0" applyFont="1" applyFill="1" applyBorder="1" applyAlignment="1">
      <alignment horizontal="left" vertical="center"/>
    </xf>
    <xf numFmtId="0" fontId="4" fillId="4" borderId="1" xfId="0" applyFont="1" applyFill="1" applyBorder="1" applyAlignment="1">
      <alignment horizontal="center" vertical="center"/>
    </xf>
    <xf numFmtId="0" fontId="1" fillId="0" borderId="4" xfId="0" applyFont="1" applyBorder="1" applyAlignment="1">
      <alignment horizontal="left" vertical="center"/>
    </xf>
    <xf numFmtId="0" fontId="0" fillId="0" borderId="0" xfId="0"/>
    <xf numFmtId="0" fontId="8" fillId="0" borderId="1" xfId="0" applyFont="1" applyBorder="1" applyAlignment="1">
      <alignment horizontal="center"/>
    </xf>
    <xf numFmtId="0" fontId="0" fillId="0" borderId="3" xfId="0" applyBorder="1" applyAlignment="1">
      <alignment vertical="center"/>
    </xf>
    <xf numFmtId="0" fontId="0" fillId="0" borderId="3" xfId="0"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0" fontId="0" fillId="0" borderId="4" xfId="0" applyBorder="1" applyAlignment="1">
      <alignment vertical="center"/>
    </xf>
    <xf numFmtId="0" fontId="0" fillId="0" borderId="3" xfId="0" applyBorder="1" applyAlignment="1">
      <alignment horizontal="left" vertical="center" wrapText="1"/>
    </xf>
    <xf numFmtId="0" fontId="0" fillId="0" borderId="4" xfId="0" applyBorder="1" applyAlignment="1">
      <alignment vertical="center" wrapText="1"/>
    </xf>
    <xf numFmtId="0" fontId="0" fillId="0" borderId="0" xfId="0" applyAlignment="1">
      <alignment vertical="top"/>
    </xf>
    <xf numFmtId="0" fontId="5" fillId="0" borderId="2" xfId="0" applyFont="1" applyFill="1" applyBorder="1" applyAlignment="1">
      <alignment horizontal="left" vertical="center"/>
    </xf>
    <xf numFmtId="0" fontId="1" fillId="0" borderId="0" xfId="0" applyFont="1" applyAlignment="1">
      <alignment horizontal="left" vertical="top"/>
    </xf>
    <xf numFmtId="0" fontId="0" fillId="3" borderId="3" xfId="0" applyFill="1" applyBorder="1" applyAlignment="1">
      <alignment vertical="center"/>
    </xf>
    <xf numFmtId="0" fontId="0" fillId="3" borderId="3" xfId="0" applyFill="1" applyBorder="1" applyAlignment="1">
      <alignment vertical="center" wrapText="1"/>
    </xf>
    <xf numFmtId="0" fontId="0" fillId="3" borderId="4" xfId="0" applyFill="1" applyBorder="1" applyAlignment="1">
      <alignment vertical="center"/>
    </xf>
    <xf numFmtId="0" fontId="0" fillId="3" borderId="4" xfId="0" applyFill="1" applyBorder="1" applyAlignment="1">
      <alignment vertical="center" wrapText="1"/>
    </xf>
    <xf numFmtId="166" fontId="0" fillId="0" borderId="3" xfId="0" applyNumberFormat="1" applyBorder="1" applyAlignment="1">
      <alignment vertical="center"/>
    </xf>
    <xf numFmtId="166" fontId="0" fillId="0" borderId="4" xfId="0" applyNumberFormat="1" applyBorder="1" applyAlignment="1">
      <alignment vertical="center"/>
    </xf>
    <xf numFmtId="166" fontId="0" fillId="0" borderId="2" xfId="0" applyNumberFormat="1" applyBorder="1" applyAlignment="1">
      <alignment vertical="center"/>
    </xf>
    <xf numFmtId="166" fontId="0" fillId="3" borderId="3" xfId="0" applyNumberFormat="1" applyFill="1" applyBorder="1" applyAlignment="1">
      <alignment vertical="center"/>
    </xf>
    <xf numFmtId="166" fontId="0" fillId="3" borderId="4" xfId="0" applyNumberFormat="1" applyFill="1" applyBorder="1" applyAlignment="1">
      <alignment vertical="center"/>
    </xf>
    <xf numFmtId="0" fontId="0" fillId="0" borderId="3" xfId="0" applyNumberFormat="1" applyBorder="1" applyAlignment="1">
      <alignment vertical="center"/>
    </xf>
    <xf numFmtId="0" fontId="1" fillId="0" borderId="5" xfId="0" applyFont="1" applyFill="1" applyBorder="1"/>
    <xf numFmtId="0" fontId="1" fillId="0" borderId="4" xfId="0" applyFont="1" applyFill="1" applyBorder="1"/>
    <xf numFmtId="2" fontId="1" fillId="0" borderId="0" xfId="0" applyNumberFormat="1" applyFont="1"/>
    <xf numFmtId="0" fontId="1" fillId="0" borderId="1" xfId="0" applyFont="1" applyBorder="1" applyAlignment="1"/>
    <xf numFmtId="0" fontId="0" fillId="0" borderId="5" xfId="0" applyFill="1" applyBorder="1" applyAlignment="1">
      <alignment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0" fillId="0" borderId="5" xfId="0" applyFill="1" applyBorder="1" applyAlignment="1">
      <alignment vertical="center" wrapText="1"/>
    </xf>
    <xf numFmtId="0" fontId="0" fillId="0" borderId="3" xfId="0" applyFill="1" applyBorder="1" applyAlignment="1">
      <alignment vertical="center"/>
    </xf>
    <xf numFmtId="0" fontId="10" fillId="0" borderId="3" xfId="0" applyFont="1" applyFill="1" applyBorder="1" applyAlignment="1">
      <alignment vertical="center"/>
    </xf>
    <xf numFmtId="0" fontId="11" fillId="0" borderId="3" xfId="0" applyFont="1" applyFill="1" applyBorder="1" applyAlignment="1">
      <alignment vertical="center"/>
    </xf>
    <xf numFmtId="0" fontId="0" fillId="0" borderId="3" xfId="0" applyFill="1" applyBorder="1" applyAlignment="1">
      <alignment vertical="center" wrapText="1"/>
    </xf>
    <xf numFmtId="0" fontId="0" fillId="0" borderId="6" xfId="0" applyFill="1" applyBorder="1" applyAlignment="1">
      <alignment vertical="center"/>
    </xf>
    <xf numFmtId="0" fontId="10" fillId="0" borderId="6" xfId="0" applyFont="1" applyFill="1" applyBorder="1" applyAlignment="1">
      <alignment vertical="center"/>
    </xf>
    <xf numFmtId="0" fontId="11" fillId="0" borderId="6" xfId="0" applyFont="1" applyFill="1" applyBorder="1" applyAlignment="1">
      <alignment vertical="center"/>
    </xf>
    <xf numFmtId="0" fontId="0" fillId="0" borderId="6" xfId="0" applyFill="1" applyBorder="1" applyAlignment="1">
      <alignment vertical="center" wrapText="1"/>
    </xf>
    <xf numFmtId="0" fontId="12" fillId="0" borderId="0" xfId="0" applyFont="1"/>
    <xf numFmtId="0" fontId="12" fillId="0" borderId="5" xfId="0" applyFont="1" applyBorder="1" applyAlignment="1">
      <alignment vertical="center"/>
    </xf>
    <xf numFmtId="0" fontId="12" fillId="0" borderId="4" xfId="0" applyFont="1" applyBorder="1" applyAlignment="1">
      <alignment vertical="center"/>
    </xf>
    <xf numFmtId="0" fontId="12" fillId="0" borderId="1" xfId="0" quotePrefix="1" applyFont="1" applyBorder="1" applyAlignment="1">
      <alignment horizontal="center" vertical="center"/>
    </xf>
    <xf numFmtId="0" fontId="12" fillId="0" borderId="1" xfId="0" quotePrefix="1" applyFont="1" applyBorder="1" applyAlignment="1">
      <alignment horizontal="center"/>
    </xf>
    <xf numFmtId="0" fontId="12" fillId="0" borderId="5" xfId="0" applyFont="1" applyBorder="1" applyAlignment="1">
      <alignment horizontal="center" vertical="center"/>
    </xf>
    <xf numFmtId="0" fontId="12" fillId="0" borderId="1" xfId="0" applyFont="1" applyBorder="1" applyAlignment="1">
      <alignment vertical="center"/>
    </xf>
    <xf numFmtId="0" fontId="12" fillId="0" borderId="0" xfId="0" applyFont="1" applyAlignment="1">
      <alignment vertical="center"/>
    </xf>
    <xf numFmtId="0" fontId="1" fillId="0" borderId="1" xfId="0" applyFont="1" applyFill="1" applyBorder="1" applyAlignment="1">
      <alignment horizontal="center"/>
    </xf>
    <xf numFmtId="0" fontId="12" fillId="0" borderId="1" xfId="0" applyFont="1" applyFill="1" applyBorder="1" applyAlignment="1">
      <alignment horizontal="center"/>
    </xf>
    <xf numFmtId="0" fontId="0" fillId="2" borderId="1" xfId="0" applyFill="1" applyBorder="1" applyAlignment="1"/>
    <xf numFmtId="0" fontId="1" fillId="0" borderId="20" xfId="0" applyFont="1" applyBorder="1" applyAlignment="1">
      <alignment horizontal="center" vertical="center"/>
    </xf>
    <xf numFmtId="0" fontId="0" fillId="2" borderId="1" xfId="0" applyFill="1" applyBorder="1" applyAlignment="1"/>
    <xf numFmtId="0" fontId="1" fillId="0" borderId="0" xfId="0" applyFont="1" applyBorder="1"/>
    <xf numFmtId="0" fontId="13" fillId="4" borderId="9" xfId="0" applyFont="1" applyFill="1" applyBorder="1" applyAlignment="1">
      <alignment horizontal="center"/>
    </xf>
    <xf numFmtId="0" fontId="12" fillId="0" borderId="5" xfId="0" applyFont="1" applyBorder="1" applyAlignment="1">
      <alignment horizontal="right" vertical="center"/>
    </xf>
    <xf numFmtId="0" fontId="12" fillId="0" borderId="3" xfId="0" applyFont="1" applyBorder="1" applyAlignment="1">
      <alignment horizontal="right"/>
    </xf>
    <xf numFmtId="0" fontId="12" fillId="0" borderId="3" xfId="0" applyFont="1" applyBorder="1" applyAlignment="1">
      <alignment horizontal="right" vertical="center"/>
    </xf>
    <xf numFmtId="0" fontId="12" fillId="0" borderId="6" xfId="0" applyFont="1" applyBorder="1" applyAlignment="1">
      <alignment horizontal="right" vertical="center"/>
    </xf>
    <xf numFmtId="0" fontId="12" fillId="5" borderId="6" xfId="0" applyFont="1" applyFill="1" applyBorder="1" applyAlignment="1">
      <alignment horizontal="right" vertical="center"/>
    </xf>
    <xf numFmtId="0" fontId="12" fillId="0" borderId="24" xfId="0" applyFont="1" applyBorder="1" applyAlignment="1">
      <alignment horizontal="right" vertical="center"/>
    </xf>
    <xf numFmtId="0" fontId="12" fillId="0" borderId="24" xfId="0" applyFont="1" applyBorder="1" applyAlignment="1">
      <alignment horizontal="right"/>
    </xf>
    <xf numFmtId="0" fontId="1" fillId="0" borderId="24" xfId="0" applyFont="1" applyBorder="1" applyAlignment="1">
      <alignment horizontal="left" vertical="center"/>
    </xf>
    <xf numFmtId="0" fontId="4" fillId="0" borderId="0" xfId="0" applyFont="1" applyAlignment="1"/>
    <xf numFmtId="0" fontId="12" fillId="5" borderId="5" xfId="0" applyFont="1" applyFill="1" applyBorder="1" applyAlignment="1">
      <alignment horizontal="right" vertical="center"/>
    </xf>
    <xf numFmtId="0" fontId="12" fillId="0" borderId="15" xfId="0" applyFont="1" applyBorder="1" applyAlignment="1"/>
    <xf numFmtId="0" fontId="12" fillId="5" borderId="12" xfId="0" applyFont="1" applyFill="1" applyBorder="1" applyAlignment="1">
      <alignment horizontal="left" vertical="center"/>
    </xf>
    <xf numFmtId="0" fontId="1" fillId="0" borderId="3" xfId="0" applyFont="1" applyBorder="1" applyAlignment="1">
      <alignment horizontal="right"/>
    </xf>
    <xf numFmtId="165" fontId="1" fillId="0" borderId="16" xfId="0" applyNumberFormat="1" applyFont="1" applyFill="1" applyBorder="1" applyAlignment="1"/>
    <xf numFmtId="0" fontId="1" fillId="5" borderId="3" xfId="0" applyFont="1" applyFill="1" applyBorder="1" applyAlignment="1"/>
    <xf numFmtId="0" fontId="1" fillId="0" borderId="3" xfId="0" applyFont="1" applyBorder="1" applyAlignment="1"/>
    <xf numFmtId="0" fontId="1" fillId="5" borderId="4" xfId="0" applyFont="1" applyFill="1" applyBorder="1" applyAlignment="1"/>
    <xf numFmtId="0" fontId="1" fillId="0" borderId="4" xfId="0" applyFont="1" applyBorder="1" applyAlignment="1"/>
    <xf numFmtId="165" fontId="1" fillId="5" borderId="16" xfId="0" applyNumberFormat="1" applyFont="1" applyFill="1" applyBorder="1" applyAlignment="1"/>
    <xf numFmtId="165" fontId="1" fillId="0" borderId="0" xfId="0" applyNumberFormat="1" applyFont="1"/>
    <xf numFmtId="0" fontId="12" fillId="5" borderId="27" xfId="0" applyFont="1" applyFill="1" applyBorder="1" applyAlignment="1">
      <alignment vertical="center"/>
    </xf>
    <xf numFmtId="0" fontId="1" fillId="0" borderId="0" xfId="0" applyFont="1" applyAlignment="1">
      <alignment horizontal="center"/>
    </xf>
    <xf numFmtId="164" fontId="5" fillId="0" borderId="4" xfId="0" applyNumberFormat="1" applyFont="1" applyBorder="1"/>
    <xf numFmtId="0" fontId="12" fillId="0" borderId="3" xfId="0" applyFont="1" applyFill="1" applyBorder="1" applyAlignment="1">
      <alignment vertical="center"/>
    </xf>
    <xf numFmtId="166" fontId="4" fillId="2" borderId="1" xfId="0" applyNumberFormat="1" applyFont="1" applyFill="1" applyBorder="1" applyAlignment="1">
      <alignment vertical="center"/>
    </xf>
    <xf numFmtId="0" fontId="12" fillId="0" borderId="5" xfId="0" applyFont="1" applyBorder="1" applyAlignment="1"/>
    <xf numFmtId="167" fontId="1" fillId="0" borderId="0" xfId="0" applyNumberFormat="1" applyFont="1"/>
    <xf numFmtId="168" fontId="1" fillId="0" borderId="0" xfId="0" applyNumberFormat="1" applyFont="1"/>
    <xf numFmtId="0" fontId="1" fillId="0" borderId="0" xfId="0" applyNumberFormat="1" applyFont="1"/>
    <xf numFmtId="166" fontId="4" fillId="2" borderId="1" xfId="0" applyNumberFormat="1" applyFont="1" applyFill="1" applyBorder="1" applyAlignment="1">
      <alignment horizontal="right" vertical="center"/>
    </xf>
    <xf numFmtId="166" fontId="1" fillId="0" borderId="0" xfId="0" applyNumberFormat="1" applyFont="1"/>
    <xf numFmtId="0" fontId="9" fillId="0" borderId="28" xfId="0" applyFont="1" applyBorder="1" applyAlignment="1">
      <alignment horizontal="left" vertical="center"/>
    </xf>
    <xf numFmtId="0" fontId="9" fillId="0" borderId="0" xfId="0" applyFont="1" applyBorder="1" applyAlignment="1">
      <alignment horizontal="left" vertical="center"/>
    </xf>
    <xf numFmtId="0" fontId="4" fillId="4" borderId="7" xfId="0" applyFont="1" applyFill="1" applyBorder="1" applyAlignment="1"/>
    <xf numFmtId="0" fontId="0" fillId="4" borderId="8" xfId="0" applyFill="1" applyBorder="1" applyAlignment="1"/>
    <xf numFmtId="0" fontId="0" fillId="4" borderId="9" xfId="0" applyFill="1" applyBorder="1" applyAlignment="1"/>
    <xf numFmtId="0" fontId="1" fillId="0" borderId="2" xfId="0" applyFont="1" applyFill="1" applyBorder="1" applyAlignment="1"/>
    <xf numFmtId="0" fontId="0" fillId="0" borderId="2" xfId="0" applyFont="1" applyFill="1" applyBorder="1" applyAlignment="1"/>
    <xf numFmtId="0" fontId="5" fillId="0" borderId="10" xfId="0" applyFont="1" applyBorder="1" applyAlignment="1"/>
    <xf numFmtId="0" fontId="0" fillId="0" borderId="11" xfId="0" applyBorder="1" applyAlignment="1"/>
    <xf numFmtId="0" fontId="0" fillId="0" borderId="12" xfId="0" applyBorder="1" applyAlignment="1"/>
    <xf numFmtId="0" fontId="1" fillId="0" borderId="13" xfId="0" applyFont="1" applyBorder="1" applyAlignment="1"/>
    <xf numFmtId="0" fontId="0" fillId="0" borderId="14" xfId="0" applyBorder="1" applyAlignment="1"/>
    <xf numFmtId="0" fontId="0" fillId="0" borderId="15" xfId="0" applyBorder="1" applyAlignment="1"/>
    <xf numFmtId="0" fontId="1" fillId="0" borderId="25" xfId="0" applyFont="1" applyBorder="1" applyAlignment="1"/>
    <xf numFmtId="0" fontId="0" fillId="0" borderId="26" xfId="0" applyBorder="1" applyAlignment="1"/>
    <xf numFmtId="0" fontId="0" fillId="0" borderId="27" xfId="0" applyBorder="1" applyAlignment="1"/>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30" xfId="0" applyFont="1" applyFill="1" applyBorder="1" applyAlignment="1">
      <alignment horizontal="left" vertical="center"/>
    </xf>
    <xf numFmtId="0" fontId="4" fillId="2" borderId="32" xfId="0" applyFont="1" applyFill="1" applyBorder="1" applyAlignment="1">
      <alignment horizontal="left" vertical="center"/>
    </xf>
    <xf numFmtId="0" fontId="4" fillId="2" borderId="31" xfId="0" applyFont="1" applyFill="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10" fontId="12" fillId="0" borderId="19" xfId="0" applyNumberFormat="1" applyFont="1" applyFill="1" applyBorder="1" applyAlignment="1">
      <alignment horizontal="center" vertical="center"/>
    </xf>
    <xf numFmtId="10" fontId="12" fillId="0" borderId="20" xfId="0" applyNumberFormat="1"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2" xfId="0" applyFont="1" applyBorder="1" applyAlignment="1">
      <alignment horizontal="left" vertical="top"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0" fillId="0" borderId="18" xfId="0" applyBorder="1" applyAlignment="1">
      <alignmen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4" fillId="2" borderId="1" xfId="0" applyFont="1" applyFill="1" applyBorder="1" applyAlignment="1"/>
    <xf numFmtId="0" fontId="0" fillId="2" borderId="1" xfId="0" applyFill="1" applyBorder="1" applyAlignment="1"/>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166" fontId="4" fillId="3" borderId="10" xfId="0" applyNumberFormat="1" applyFont="1" applyFill="1" applyBorder="1" applyAlignment="1">
      <alignment horizontal="right" vertical="center"/>
    </xf>
    <xf numFmtId="166" fontId="4" fillId="3" borderId="12" xfId="0" applyNumberFormat="1" applyFont="1" applyFill="1" applyBorder="1" applyAlignment="1">
      <alignment horizontal="right" vertical="center"/>
    </xf>
    <xf numFmtId="166" fontId="4" fillId="3" borderId="16" xfId="0" applyNumberFormat="1" applyFont="1" applyFill="1" applyBorder="1" applyAlignment="1">
      <alignment horizontal="right" vertical="center"/>
    </xf>
    <xf numFmtId="166" fontId="4" fillId="3" borderId="18" xfId="0" applyNumberFormat="1" applyFont="1" applyFill="1" applyBorder="1" applyAlignment="1">
      <alignment horizontal="right" vertical="center"/>
    </xf>
    <xf numFmtId="0" fontId="1" fillId="0" borderId="3" xfId="0" applyFont="1" applyBorder="1" applyAlignment="1">
      <alignment horizontal="left" vertical="center"/>
    </xf>
    <xf numFmtId="0" fontId="1" fillId="0" borderId="28" xfId="0" applyFont="1" applyBorder="1" applyAlignment="1">
      <alignment horizontal="left" vertical="center"/>
    </xf>
    <xf numFmtId="0" fontId="1" fillId="0" borderId="0" xfId="0" applyFont="1" applyBorder="1" applyAlignment="1">
      <alignment horizontal="left" vertical="center"/>
    </xf>
    <xf numFmtId="0" fontId="1" fillId="0" borderId="29" xfId="0" applyFont="1" applyBorder="1" applyAlignment="1">
      <alignment horizontal="left" vertical="center"/>
    </xf>
    <xf numFmtId="2" fontId="4" fillId="2" borderId="7" xfId="0" applyNumberFormat="1" applyFont="1" applyFill="1" applyBorder="1" applyAlignment="1">
      <alignment horizontal="right" vertical="center"/>
    </xf>
    <xf numFmtId="2" fontId="4" fillId="2" borderId="9" xfId="0" applyNumberFormat="1" applyFont="1" applyFill="1" applyBorder="1" applyAlignment="1">
      <alignment horizontal="right"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0" fillId="0" borderId="22" xfId="0" applyBorder="1" applyAlignment="1">
      <alignment horizontal="left" vertical="top" wrapText="1"/>
    </xf>
    <xf numFmtId="0" fontId="0" fillId="0" borderId="22" xfId="0" applyBorder="1" applyAlignment="1">
      <alignment horizontal="left" vertical="top"/>
    </xf>
    <xf numFmtId="0" fontId="0" fillId="0" borderId="19" xfId="0" applyFill="1" applyBorder="1" applyAlignment="1">
      <alignment horizontal="left" vertical="center" wrapText="1"/>
    </xf>
    <xf numFmtId="0" fontId="0" fillId="0" borderId="24" xfId="0"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9" xfId="0" applyBorder="1" applyAlignment="1">
      <alignment horizontal="left" vertical="center"/>
    </xf>
    <xf numFmtId="0" fontId="0" fillId="0" borderId="24" xfId="0" applyBorder="1" applyAlignment="1">
      <alignment horizontal="left" vertical="center"/>
    </xf>
    <xf numFmtId="0" fontId="0" fillId="0" borderId="20" xfId="0" applyBorder="1" applyAlignment="1">
      <alignment horizontal="left" vertical="center"/>
    </xf>
    <xf numFmtId="0" fontId="0" fillId="3" borderId="24" xfId="0" applyFill="1" applyBorder="1" applyAlignment="1">
      <alignment horizontal="left" vertical="center"/>
    </xf>
    <xf numFmtId="0" fontId="0" fillId="3" borderId="20" xfId="0" applyFill="1" applyBorder="1" applyAlignment="1">
      <alignment horizontal="left" vertical="center"/>
    </xf>
  </cellXfs>
  <cellStyles count="1">
    <cellStyle name="Normal" xfId="0" builtinId="0"/>
  </cellStyles>
  <dxfs count="9">
    <dxf>
      <fill>
        <patternFill patternType="lightHorizontal"/>
      </fill>
    </dxf>
    <dxf>
      <fill>
        <patternFill patternType="lightHorizontal"/>
      </fill>
    </dxf>
    <dxf>
      <font>
        <color theme="1"/>
      </font>
    </dxf>
    <dxf>
      <font>
        <color theme="0"/>
      </font>
    </dxf>
    <dxf>
      <font>
        <color auto="1"/>
      </font>
      <fill>
        <patternFill>
          <bgColor theme="1"/>
        </patternFill>
      </fill>
    </dxf>
    <dxf>
      <font>
        <b/>
        <i val="0"/>
        <strike val="0"/>
        <u val="none"/>
        <color rgb="FFFF0000"/>
      </font>
      <fill>
        <patternFill patternType="none">
          <bgColor auto="1"/>
        </patternFill>
      </fill>
      <border>
        <left/>
        <right/>
        <top/>
        <bottom/>
      </border>
    </dxf>
    <dxf>
      <font>
        <color theme="0"/>
      </font>
      <fill>
        <patternFill patternType="none">
          <bgColor auto="1"/>
        </patternFill>
      </fill>
    </dxf>
    <dxf>
      <fill>
        <patternFill patternType="lightHorizontal"/>
      </fill>
    </dxf>
    <dxf>
      <fill>
        <patternFill patternType="lightHorizontal"/>
      </fill>
    </dxf>
  </dxfs>
  <tableStyles count="0" defaultTableStyle="TableStyleMedium2" defaultPivotStyle="PivotStyleLight16"/>
  <colors>
    <mruColors>
      <color rgb="FF00B2A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zoomScaleNormal="100" workbookViewId="0">
      <selection activeCell="J30" sqref="J30"/>
    </sheetView>
  </sheetViews>
  <sheetFormatPr defaultRowHeight="12.75" x14ac:dyDescent="0.2"/>
  <cols>
    <col min="1" max="1" width="32.140625" style="1" bestFit="1" customWidth="1"/>
    <col min="2" max="2" width="17" style="1" customWidth="1"/>
    <col min="3" max="3" width="11" style="1" customWidth="1"/>
    <col min="4" max="5" width="25.7109375" style="1" customWidth="1"/>
    <col min="6" max="6" width="7.140625" style="1" bestFit="1" customWidth="1"/>
    <col min="7" max="7" width="9" style="1" bestFit="1" customWidth="1"/>
    <col min="8" max="8" width="8" style="1" customWidth="1"/>
    <col min="9" max="9" width="11.28515625" style="1" bestFit="1" customWidth="1"/>
    <col min="10" max="10" width="9.85546875" style="1" bestFit="1" customWidth="1"/>
    <col min="11" max="11" width="11.28515625" style="1" bestFit="1" customWidth="1"/>
    <col min="12" max="12" width="16.7109375" style="1" bestFit="1" customWidth="1"/>
    <col min="13" max="14" width="20.7109375" style="1" bestFit="1" customWidth="1"/>
    <col min="15" max="15" width="8.42578125" style="1" customWidth="1"/>
    <col min="16" max="16" width="4.28515625" style="1" hidden="1" customWidth="1"/>
    <col min="17" max="18" width="0" style="1" hidden="1" customWidth="1"/>
    <col min="19" max="16384" width="9.140625" style="1"/>
  </cols>
  <sheetData>
    <row r="1" spans="1:18" ht="14.25" thickTop="1" thickBot="1" x14ac:dyDescent="0.25">
      <c r="A1" s="68" t="s">
        <v>92</v>
      </c>
      <c r="B1" s="9" t="s">
        <v>8</v>
      </c>
      <c r="C1" s="9" t="s">
        <v>9</v>
      </c>
      <c r="D1" s="16" t="s">
        <v>5</v>
      </c>
      <c r="E1" s="129" t="s">
        <v>77</v>
      </c>
      <c r="F1" s="130"/>
      <c r="G1" s="130"/>
      <c r="H1" s="130"/>
      <c r="I1" s="130"/>
      <c r="J1" s="130"/>
      <c r="K1" s="130"/>
      <c r="L1" s="130"/>
      <c r="M1" s="131"/>
    </row>
    <row r="2" spans="1:18" ht="17.25" thickTop="1" thickBot="1" x14ac:dyDescent="0.35">
      <c r="A2" s="17" t="s">
        <v>3</v>
      </c>
      <c r="B2" s="64">
        <v>-40</v>
      </c>
      <c r="C2" s="67">
        <v>85</v>
      </c>
      <c r="D2" s="72" t="s">
        <v>10</v>
      </c>
      <c r="E2" s="16" t="s">
        <v>78</v>
      </c>
      <c r="F2" s="16" t="s">
        <v>79</v>
      </c>
      <c r="G2" s="6" t="s">
        <v>73</v>
      </c>
      <c r="H2" s="6" t="s">
        <v>74</v>
      </c>
      <c r="I2" s="6" t="s">
        <v>75</v>
      </c>
      <c r="J2" s="6" t="s">
        <v>81</v>
      </c>
      <c r="K2" s="6" t="s">
        <v>80</v>
      </c>
      <c r="L2" s="6" t="s">
        <v>75</v>
      </c>
      <c r="M2" s="6" t="s">
        <v>76</v>
      </c>
      <c r="P2" s="1" t="s">
        <v>85</v>
      </c>
    </row>
    <row r="3" spans="1:18" ht="14.25" thickTop="1" thickBot="1" x14ac:dyDescent="0.25">
      <c r="A3" s="6" t="s">
        <v>19</v>
      </c>
      <c r="B3" s="8" t="s">
        <v>18</v>
      </c>
      <c r="C3" s="6" t="s">
        <v>5</v>
      </c>
      <c r="D3" s="69" t="s">
        <v>84</v>
      </c>
      <c r="E3" s="132">
        <v>4</v>
      </c>
      <c r="F3" s="134">
        <f>B4</f>
        <v>4.0960000000000001</v>
      </c>
      <c r="G3" s="136">
        <v>1E-3</v>
      </c>
      <c r="H3" s="138">
        <v>1000000</v>
      </c>
      <c r="I3" s="45">
        <f>H3*(1+G3)</f>
        <v>1000999.9999999999</v>
      </c>
      <c r="J3" s="140">
        <f>((H3*E3)/(F3))-H3</f>
        <v>-23437.5</v>
      </c>
      <c r="K3" s="138"/>
      <c r="L3" s="45">
        <f>(K3*(1-G3))</f>
        <v>0</v>
      </c>
      <c r="M3" s="140">
        <f>1000*MAX(((E3*I3/(I3+L3))-F3),((E3*I4/(I4+L3))-F3),((E3*I3/(I3+L4))-F3),((E3*I4/(I4+L4))-F3))</f>
        <v>-96.000000000000085</v>
      </c>
      <c r="P3" s="1" t="s">
        <v>86</v>
      </c>
    </row>
    <row r="4" spans="1:18" ht="17.25" thickTop="1" thickBot="1" x14ac:dyDescent="0.35">
      <c r="A4" s="5" t="s">
        <v>4</v>
      </c>
      <c r="B4" s="66">
        <v>4.0960000000000001</v>
      </c>
      <c r="C4" s="5" t="s">
        <v>17</v>
      </c>
      <c r="D4" s="70" t="s">
        <v>86</v>
      </c>
      <c r="E4" s="133"/>
      <c r="F4" s="135"/>
      <c r="G4" s="137"/>
      <c r="H4" s="139"/>
      <c r="I4" s="46">
        <f>H3*(1-G3)</f>
        <v>999000</v>
      </c>
      <c r="J4" s="141"/>
      <c r="K4" s="139"/>
      <c r="L4" s="46">
        <f>(K3*(1+G3))</f>
        <v>0</v>
      </c>
      <c r="M4" s="141"/>
      <c r="P4" s="1" t="s">
        <v>15</v>
      </c>
      <c r="Q4" s="1" t="s">
        <v>0</v>
      </c>
      <c r="R4" s="1" t="s">
        <v>21</v>
      </c>
    </row>
    <row r="5" spans="1:18" ht="14.25" thickTop="1" thickBot="1" x14ac:dyDescent="0.25">
      <c r="A5" s="6" t="s">
        <v>72</v>
      </c>
      <c r="B5" s="65">
        <v>16</v>
      </c>
      <c r="C5" s="6" t="s">
        <v>71</v>
      </c>
      <c r="D5" s="6" t="s">
        <v>88</v>
      </c>
      <c r="E5" s="48">
        <f>E3/F3</f>
        <v>0.9765625</v>
      </c>
      <c r="P5" s="1" t="s">
        <v>1</v>
      </c>
      <c r="Q5" s="1" t="s">
        <v>1</v>
      </c>
      <c r="R5" s="1" t="s">
        <v>20</v>
      </c>
    </row>
    <row r="6" spans="1:18" ht="14.25" thickTop="1" thickBot="1" x14ac:dyDescent="0.25">
      <c r="A6" s="3" t="s">
        <v>2</v>
      </c>
      <c r="B6" s="98">
        <f>$B$4/(2^B5-1)</f>
        <v>6.2500953688868547E-5</v>
      </c>
      <c r="C6" s="3" t="s">
        <v>17</v>
      </c>
      <c r="D6" s="74"/>
    </row>
    <row r="7" spans="1:18" ht="13.5" thickTop="1" x14ac:dyDescent="0.2">
      <c r="A7" s="61"/>
    </row>
    <row r="8" spans="1:18" ht="13.5" thickBot="1" x14ac:dyDescent="0.25">
      <c r="E8" s="2"/>
      <c r="F8" s="4"/>
    </row>
    <row r="9" spans="1:18" ht="16.5" thickTop="1" thickBot="1" x14ac:dyDescent="0.3">
      <c r="A9" s="109" t="s">
        <v>93</v>
      </c>
      <c r="B9" s="110"/>
      <c r="C9" s="111"/>
      <c r="D9" s="75" t="s">
        <v>95</v>
      </c>
      <c r="E9" s="21" t="s">
        <v>96</v>
      </c>
      <c r="F9" s="21" t="s">
        <v>5</v>
      </c>
      <c r="M9" s="97"/>
    </row>
    <row r="10" spans="1:18" ht="15.75" thickTop="1" x14ac:dyDescent="0.25">
      <c r="A10" s="112" t="s">
        <v>66</v>
      </c>
      <c r="B10" s="113"/>
      <c r="C10" s="113"/>
      <c r="D10" s="94"/>
      <c r="E10" s="89">
        <f>-'MAX1492X Error Calculations'!C20</f>
        <v>-0.17702483310715286</v>
      </c>
      <c r="F10" s="33" t="s">
        <v>1</v>
      </c>
      <c r="G10" s="95"/>
      <c r="L10" s="95"/>
    </row>
    <row r="11" spans="1:18" ht="15" x14ac:dyDescent="0.25">
      <c r="A11" s="120" t="str">
        <f>CONCATENATE("Amplifier Offset Voltage (Sigma = ",ROUND((E11-D11)/6,3), "mV)")</f>
        <v>Amplifier Offset Voltage (Sigma = 0.008mV)</v>
      </c>
      <c r="B11" s="121"/>
      <c r="C11" s="122"/>
      <c r="D11" s="88">
        <v>0.05</v>
      </c>
      <c r="E11" s="88">
        <v>0.1</v>
      </c>
      <c r="F11" s="10" t="s">
        <v>1</v>
      </c>
      <c r="O11" s="95"/>
    </row>
    <row r="12" spans="1:18" ht="15" x14ac:dyDescent="0.25">
      <c r="A12" s="117" t="s">
        <v>13</v>
      </c>
      <c r="B12" s="118"/>
      <c r="C12" s="119"/>
      <c r="D12" s="90"/>
      <c r="E12" s="91">
        <v>0.2</v>
      </c>
      <c r="F12" s="11" t="s">
        <v>1</v>
      </c>
      <c r="O12" s="106"/>
    </row>
    <row r="13" spans="1:18" ht="15.75" thickBot="1" x14ac:dyDescent="0.3">
      <c r="A13" s="114" t="s">
        <v>65</v>
      </c>
      <c r="B13" s="115"/>
      <c r="C13" s="116"/>
      <c r="D13" s="92"/>
      <c r="E13" s="93">
        <v>0</v>
      </c>
      <c r="F13" s="12" t="s">
        <v>1</v>
      </c>
      <c r="I13" s="95"/>
      <c r="N13" s="95"/>
    </row>
    <row r="14" spans="1:18" ht="16.5" thickTop="1" thickBot="1" x14ac:dyDescent="0.3">
      <c r="A14" s="123" t="s">
        <v>94</v>
      </c>
      <c r="B14" s="124"/>
      <c r="C14" s="125"/>
      <c r="D14" s="73" t="s">
        <v>97</v>
      </c>
      <c r="E14" s="100">
        <f>IF(AND(F10= "mV", F11 = "mV",F12 = "mV", F13="mV"),E10+D11+(3*SQRT(((E11-D11)/6)^2+((E12-D12)/6)^2)),"Unit Mismatch")</f>
        <v>-2.3947192466711342E-2</v>
      </c>
      <c r="F14" s="20" t="s">
        <v>1</v>
      </c>
      <c r="G14" s="95"/>
      <c r="L14" s="95"/>
      <c r="N14" s="104"/>
    </row>
    <row r="15" spans="1:18" ht="16.5" thickTop="1" thickBot="1" x14ac:dyDescent="0.3">
      <c r="A15" s="126"/>
      <c r="B15" s="127"/>
      <c r="C15" s="128"/>
      <c r="D15" s="73" t="s">
        <v>98</v>
      </c>
      <c r="E15" s="100">
        <f>IF(AND(F10= "mV", F11 = "mV",F12 = "mV", F13="mV"),E10+D11+(6*SQRT(((E11-D11)/6)^2+((E12-D12)/6)^2+((E13-D13)/6)^2)),"Unit Mismatch")</f>
        <v>7.9130448173730161E-2</v>
      </c>
      <c r="F15" s="20" t="s">
        <v>1</v>
      </c>
      <c r="G15" s="104"/>
      <c r="I15" s="104"/>
    </row>
    <row r="16" spans="1:18" ht="16.5" thickTop="1" thickBot="1" x14ac:dyDescent="0.3">
      <c r="A16" s="109" t="s">
        <v>6</v>
      </c>
      <c r="B16" s="110"/>
      <c r="C16" s="111"/>
      <c r="D16" s="75" t="s">
        <v>95</v>
      </c>
      <c r="E16" s="21" t="s">
        <v>96</v>
      </c>
      <c r="F16" s="21" t="s">
        <v>5</v>
      </c>
      <c r="G16" s="104"/>
      <c r="N16" s="95"/>
    </row>
    <row r="17" spans="1:15" ht="15.75" thickTop="1" x14ac:dyDescent="0.2">
      <c r="A17" s="143" t="s">
        <v>14</v>
      </c>
      <c r="B17" s="144"/>
      <c r="C17" s="145"/>
      <c r="D17" s="96"/>
      <c r="E17" s="62">
        <v>0.02</v>
      </c>
      <c r="F17" s="15" t="s">
        <v>15</v>
      </c>
      <c r="N17" s="104"/>
      <c r="O17" s="104"/>
    </row>
    <row r="18" spans="1:15" ht="15" x14ac:dyDescent="0.25">
      <c r="A18" s="117" t="str">
        <f>CONCATENATE("Temperature Coefficient (Sigma = ",ROUND(IF(F18="ppm/°C", ((((E18/1000000)*MAX(($C$2-25),(25-$B$2))*$B$4*1000)-((D18/1000000)*MAX(($C$2-25),(25-$B$2))*$B$4*1000))/6), ((((E18/1000)*MAX(($C$2-25),(25-$B$2)))-((D18/1000)*MAX(($C$2-25),(25-$B$2)))))/6),3),"mV)")</f>
        <v>Temperature Coefficient (Sigma = 0.111mV)</v>
      </c>
      <c r="B18" s="118"/>
      <c r="C18" s="119"/>
      <c r="D18" s="86">
        <v>0.5</v>
      </c>
      <c r="E18" s="99">
        <v>3</v>
      </c>
      <c r="F18" s="13" t="s">
        <v>21</v>
      </c>
      <c r="G18" s="107" t="s">
        <v>99</v>
      </c>
      <c r="H18" s="108"/>
      <c r="I18" s="108"/>
      <c r="J18" s="108"/>
      <c r="K18" s="108"/>
      <c r="O18" s="106"/>
    </row>
    <row r="19" spans="1:15" ht="16.5" customHeight="1" thickBot="1" x14ac:dyDescent="0.25">
      <c r="A19" s="150" t="s">
        <v>90</v>
      </c>
      <c r="B19" s="151"/>
      <c r="C19" s="152"/>
      <c r="D19" s="87"/>
      <c r="E19" s="63"/>
      <c r="F19" s="22" t="s">
        <v>1</v>
      </c>
      <c r="G19" s="107"/>
      <c r="H19" s="108"/>
      <c r="I19" s="108"/>
      <c r="J19" s="108"/>
      <c r="K19" s="108"/>
    </row>
    <row r="20" spans="1:15" ht="16.5" thickTop="1" thickBot="1" x14ac:dyDescent="0.3">
      <c r="A20" s="123" t="s">
        <v>11</v>
      </c>
      <c r="B20" s="124"/>
      <c r="C20" s="125"/>
      <c r="D20" s="71" t="s">
        <v>97</v>
      </c>
      <c r="E20" s="105">
        <f>IF(E19=0, IF(F18="ppm/°C",(D18/1000000)*$B$4*1000*MAX(($C$2-25),(25-$B$2)),(D18*MAX(($C$2-25),(25-$B$2)))/1000), D19)+(3*SQRT(IF(F17="mV", ((E17-D17)/6)^2, (((E17-D17)/6)%*$B$4*1000)^2)+ IF(E19=0,IF(F18="ppm/°C",((((E18-D18)/6)/1000000)*MAX(($C$2-25),(25-$B$2))*$B$4*1000)^2, ((((E18-D18)/6)*MAX(($C$2-25),(25-$B$2)))/1000)^2), (((E19-D19)/6)^2))))</f>
        <v>0.66087752007906053</v>
      </c>
      <c r="F20" s="20" t="s">
        <v>1</v>
      </c>
      <c r="L20" s="106"/>
      <c r="N20" s="104"/>
    </row>
    <row r="21" spans="1:15" ht="16.5" thickTop="1" thickBot="1" x14ac:dyDescent="0.3">
      <c r="A21" s="126"/>
      <c r="B21" s="127"/>
      <c r="C21" s="128"/>
      <c r="D21" s="71" t="s">
        <v>98</v>
      </c>
      <c r="E21" s="100">
        <f>IF(E19=0, IF(F18="ppm/°C",(D18/1000000)*$B$4*1000*MAX(($C$2-25),(25-$B$2)),(D18*MAX(($C$2-25),(25-$B$2)))/1000), D19)+(6*SQRT(IF(F17="mV", ((E17-D17)/6)^2, (((E17-D17)/6)%*$B$4*1000)^2)+ IF(E19=0,IF(F18="ppm/°C",((((E18-D18)/6)/1000000)*MAX(($C$2-25),(25-$B$2))*$B$4*1000)^2, ((((E18-D18)/6)*MAX(($C$2-25),(25-$B$2)))/1000)^2), (((E19-D19)/6)^2))))</f>
        <v>1.1886350401581209</v>
      </c>
      <c r="F21" s="20" t="s">
        <v>1</v>
      </c>
    </row>
    <row r="22" spans="1:15" s="7" customFormat="1" ht="16.5" thickTop="1" thickBot="1" x14ac:dyDescent="0.3">
      <c r="A22" s="109" t="s">
        <v>89</v>
      </c>
      <c r="B22" s="110"/>
      <c r="C22" s="111"/>
      <c r="D22" s="75" t="s">
        <v>95</v>
      </c>
      <c r="E22" s="21" t="s">
        <v>96</v>
      </c>
      <c r="F22" s="21" t="s">
        <v>5</v>
      </c>
    </row>
    <row r="23" spans="1:15" ht="13.5" thickTop="1" x14ac:dyDescent="0.2">
      <c r="A23" s="147" t="str">
        <f>CONCATENATE("Total Unadjusted Error (TUE) (Sigma = ",IF(F23="LSB",ROUND((((E23*$B$6*1000)-(D23*$B$6*1000))/6),3), ROUND((E23-D23)/6, 3)), "mV)")</f>
        <v>Total Unadjusted Error (TUE) (Sigma = 0mV)</v>
      </c>
      <c r="B23" s="147"/>
      <c r="C23" s="147"/>
      <c r="D23" s="101"/>
      <c r="E23" s="62"/>
      <c r="F23" s="15" t="s">
        <v>0</v>
      </c>
      <c r="N23" s="102"/>
    </row>
    <row r="24" spans="1:15" ht="15" customHeight="1" x14ac:dyDescent="0.2">
      <c r="A24" s="157" t="str">
        <f>CONCATENATE("Integral Nonlinearity (INL) (Sigma = ",IF(F24="LSB",ROUND((((E24*B6*1000)-(D24*B6*1000))/6),3), ROUND((E24-D24)/6, 3)), "mV)")</f>
        <v>Integral Nonlinearity (INL) (Sigma = 0.01mV)</v>
      </c>
      <c r="B24" s="157"/>
      <c r="C24" s="157"/>
      <c r="D24" s="77">
        <v>0.5</v>
      </c>
      <c r="E24" s="78">
        <v>1.5</v>
      </c>
      <c r="F24" s="13" t="s">
        <v>0</v>
      </c>
      <c r="G24" s="107" t="s">
        <v>87</v>
      </c>
      <c r="H24" s="108"/>
      <c r="I24" s="108"/>
      <c r="J24" s="108"/>
      <c r="K24" s="108"/>
    </row>
    <row r="25" spans="1:15" ht="15" customHeight="1" x14ac:dyDescent="0.2">
      <c r="A25" s="157" t="str">
        <f>CONCATENATE("Offset Error (Sigma = ",IF(F25="mV",ROUND((E25-D25)/6,3),"Unit Error"), "mV)")</f>
        <v>Offset Error (Sigma = 0.067mV)</v>
      </c>
      <c r="B25" s="157"/>
      <c r="C25" s="157"/>
      <c r="D25" s="77">
        <v>0.1</v>
      </c>
      <c r="E25" s="78">
        <v>0.5</v>
      </c>
      <c r="F25" s="13" t="s">
        <v>1</v>
      </c>
      <c r="G25" s="107"/>
      <c r="H25" s="108"/>
      <c r="I25" s="108"/>
      <c r="J25" s="108"/>
      <c r="K25" s="108"/>
    </row>
    <row r="26" spans="1:15" ht="15" customHeight="1" x14ac:dyDescent="0.2">
      <c r="A26" s="147" t="s">
        <v>63</v>
      </c>
      <c r="B26" s="147"/>
      <c r="C26" s="147"/>
      <c r="D26" s="76">
        <v>1</v>
      </c>
      <c r="E26" s="85"/>
      <c r="F26" s="15" t="s">
        <v>20</v>
      </c>
      <c r="G26" s="107"/>
      <c r="H26" s="108"/>
      <c r="I26" s="108"/>
      <c r="J26" s="108"/>
      <c r="K26" s="108"/>
    </row>
    <row r="27" spans="1:15" ht="15" customHeight="1" x14ac:dyDescent="0.2">
      <c r="A27" s="158" t="str">
        <f>CONCATENATE("Gain Error (Sigma = ",IF(F27="LSB",ROUND((((E27*$B$6*1000)-(D27*$B$6*1000))/6),3), ROUND((E27-D27)/6, 3)), "mV)")</f>
        <v>Gain Error (Sigma = 0.083mV)</v>
      </c>
      <c r="B27" s="159"/>
      <c r="C27" s="160"/>
      <c r="D27" s="82">
        <v>2</v>
      </c>
      <c r="E27" s="81">
        <v>10</v>
      </c>
      <c r="F27" s="83" t="s">
        <v>0</v>
      </c>
      <c r="G27" s="107"/>
      <c r="H27" s="108"/>
      <c r="I27" s="108"/>
      <c r="J27" s="108"/>
      <c r="K27" s="108"/>
    </row>
    <row r="28" spans="1:15" ht="16.5" customHeight="1" thickBot="1" x14ac:dyDescent="0.25">
      <c r="A28" s="146" t="s">
        <v>64</v>
      </c>
      <c r="B28" s="146"/>
      <c r="C28" s="146"/>
      <c r="D28" s="79">
        <v>0.5</v>
      </c>
      <c r="E28" s="80"/>
      <c r="F28" s="14" t="s">
        <v>21</v>
      </c>
      <c r="G28" s="107"/>
      <c r="H28" s="108"/>
      <c r="I28" s="108"/>
      <c r="J28" s="108"/>
      <c r="K28" s="108"/>
      <c r="N28" s="84"/>
      <c r="O28" s="106"/>
    </row>
    <row r="29" spans="1:15" ht="16.5" thickTop="1" thickBot="1" x14ac:dyDescent="0.3">
      <c r="A29" s="123" t="s">
        <v>12</v>
      </c>
      <c r="B29" s="124"/>
      <c r="C29" s="125"/>
      <c r="D29" s="71" t="s">
        <v>97</v>
      </c>
      <c r="E29" s="100">
        <f>IF(E23 = 0, (IF(F24="LSB",D24*$B$6*1000,D24)+D25+IF(F26="ppm/°C",(D26/1000000)*MAX(($C$2-25),(25-$B$2))*$B$4*1000,(D26*MAX(($C$2-25),(25-$B$2)))/1000)+IF(F27="LSB",D27*$B$6*1000, D27)+IF(F28="ppm/°C", (D28/1000000)*MAX(($C$2-25),(25-$B$2))*$B$4*1000, (D28*MAX(($C$2-25),(25-$B$2)))/1000)), IF(F23= "LSB",D23*$B$6*1000, D23))+(3*SQRT(IF(E23 = 0, IF(F24="LSB",(((E24-D24)/6)*$B$6*1000)^2,((E24-D24)/6)^2)+(((E25-D25)/6)^2)+IF(F27="LSB",(((E27-D27)/6)*$B$6*1000)^2,((E27-D27)/6)^2),IF(F23= "LSB",D23*$B$6*1000, D23))))</f>
        <v>0.77605312610034782</v>
      </c>
      <c r="F29" s="20" t="s">
        <v>1</v>
      </c>
      <c r="L29" s="95"/>
      <c r="N29" s="103"/>
    </row>
    <row r="30" spans="1:15" ht="16.5" thickTop="1" thickBot="1" x14ac:dyDescent="0.3">
      <c r="A30" s="126"/>
      <c r="B30" s="127"/>
      <c r="C30" s="128"/>
      <c r="D30" s="71" t="s">
        <v>98</v>
      </c>
      <c r="E30" s="100">
        <f>IF(E23 = 0, (IF(F24="LSB",D24*$B$6*1000,D24)+D25+IF(F26="ppm/°C",(D26/1000000)*MAX(($C$2-25),(25-$B$2))*$B$4*1000,(D26*MAX(($C$2-25),(25-$B$2)))/1000)+IF(F27="LSB",D27*$B$6*1000, D27)+IF(F28="ppm/°C", (D28/1000000)*MAX(($C$2-25),(25-$B$2))*$B$4*1000, (D28*MAX(($C$2-25),(25-$B$2)))/1000)), IF(F23= "LSB",D23*$B$6*1000, D23))+(6*SQRT(IF(E23 = 0, IF(F24="LSB",(((E24-D24)/6)*$B$6*1000)^2,((E24-D24)/6)^2)+(((E25-D25)/6)^2)+IF(F27="LSB",(((E27-D27)/6)*$B$6*1000)^2,((E27-D27)/6)^2),IF(F23= "LSB",D23*$B$6*1000, D23))))</f>
        <v>1.0977338679785245</v>
      </c>
      <c r="F30" s="20" t="s">
        <v>1</v>
      </c>
      <c r="L30" s="106"/>
      <c r="N30" s="104"/>
    </row>
    <row r="31" spans="1:15" ht="16.5" thickTop="1" thickBot="1" x14ac:dyDescent="0.3">
      <c r="A31" s="109" t="s">
        <v>82</v>
      </c>
      <c r="B31" s="110"/>
      <c r="C31" s="111"/>
      <c r="D31" s="163" t="s">
        <v>7</v>
      </c>
      <c r="E31" s="164"/>
      <c r="F31" s="21" t="s">
        <v>5</v>
      </c>
      <c r="G31" s="104"/>
      <c r="J31" s="47"/>
      <c r="L31" s="104"/>
    </row>
    <row r="32" spans="1:15" ht="16.5" thickTop="1" thickBot="1" x14ac:dyDescent="0.3">
      <c r="A32" s="148" t="s">
        <v>83</v>
      </c>
      <c r="B32" s="149"/>
      <c r="C32" s="149"/>
      <c r="D32" s="161">
        <f>ROUND(M3,2)</f>
        <v>-96</v>
      </c>
      <c r="E32" s="162"/>
      <c r="F32" s="20" t="s">
        <v>1</v>
      </c>
      <c r="N32" s="95"/>
    </row>
    <row r="33" spans="1:7" ht="16.5" customHeight="1" thickTop="1" thickBot="1" x14ac:dyDescent="0.25">
      <c r="A33" s="166" t="s">
        <v>16</v>
      </c>
      <c r="B33" s="166"/>
      <c r="C33" s="166"/>
      <c r="D33" s="166"/>
      <c r="E33" s="166"/>
      <c r="F33" s="166"/>
    </row>
    <row r="34" spans="1:7" ht="15.75" customHeight="1" thickTop="1" thickBot="1" x14ac:dyDescent="0.25">
      <c r="A34" s="165" t="str">
        <f>CONCATENATE("Maximum 3-Sigma Error", " From ",B2, "°C"," to ",C2, "°C")</f>
        <v>Maximum 3-Sigma Error From -40°C to 85°C</v>
      </c>
      <c r="B34" s="165"/>
      <c r="C34" s="165"/>
      <c r="D34" s="155">
        <f>IF($D$4="Yes",(E14-(E15-E14))+((E20-(E21-E20))*E5)+((E29-(E30-E29))*E5)+(D32*E5)+(3*SQRT(((E15-E14)/3)^2+(((E21-E20)/3)*$E$5)^2+(((E30-E29)/3)*E5)^2)), (E14-(E15-E14))+(E20-(E21-E20))+(E29-(E30-E29))+(3*SQRT(((E15-E14)/3)^2+((E21-E20)/3)^2+((E30-E29)/3)^2)))</f>
        <v>1.0870706948154742</v>
      </c>
      <c r="E34" s="156"/>
      <c r="F34" s="18" t="s">
        <v>1</v>
      </c>
    </row>
    <row r="35" spans="1:7" ht="15" customHeight="1" thickTop="1" thickBot="1" x14ac:dyDescent="0.25">
      <c r="A35" s="165"/>
      <c r="B35" s="165"/>
      <c r="C35" s="165"/>
      <c r="D35" s="153">
        <f>(D34/10)/$B$4</f>
        <v>2.6539811885143413E-2</v>
      </c>
      <c r="E35" s="154"/>
      <c r="F35" s="19" t="s">
        <v>15</v>
      </c>
      <c r="G35" s="95"/>
    </row>
    <row r="36" spans="1:7" ht="16.5" customHeight="1" thickTop="1" thickBot="1" x14ac:dyDescent="0.25">
      <c r="A36" s="165" t="str">
        <f>CONCATENATE("Maximum 6-Sigma Error", " From ",B2, "°C"," to ",C2, "°C")</f>
        <v>Maximum 6-Sigma Error From -40°C to 85°C</v>
      </c>
      <c r="B36" s="165"/>
      <c r="C36" s="165"/>
      <c r="D36" s="155">
        <f>IF($D$4="Yes",(E14-(E15-E14))+((E20-(E21-E20))*E5)+((E29-(E30-E29))*E5)+(D32*E5)+(6*SQRT(((E15-E14)/3)^2+(((E21-E20)/3)*$E$5)^2+(((E30-E29)/3)*E5)^2)), (E14-(E15-E14))+(E20-(E21-E20))+(E29-(E30-E29))+(6*SQRT(((E15-E14)/3)^2+((E21-E20)/3)^2+((E30-E29)/3)^2)))</f>
        <v>1.7136738385159298</v>
      </c>
      <c r="E36" s="156"/>
      <c r="F36" s="18" t="s">
        <v>1</v>
      </c>
    </row>
    <row r="37" spans="1:7" ht="15" customHeight="1" thickTop="1" thickBot="1" x14ac:dyDescent="0.25">
      <c r="A37" s="165"/>
      <c r="B37" s="165"/>
      <c r="C37" s="165"/>
      <c r="D37" s="153">
        <f>(D36/10)/$B$4</f>
        <v>4.1837740198142813E-2</v>
      </c>
      <c r="E37" s="154"/>
      <c r="F37" s="19" t="s">
        <v>15</v>
      </c>
    </row>
    <row r="38" spans="1:7" ht="42" customHeight="1" thickTop="1" x14ac:dyDescent="0.2">
      <c r="A38" s="142" t="s">
        <v>100</v>
      </c>
      <c r="B38" s="142"/>
      <c r="C38" s="142"/>
      <c r="D38" s="142"/>
      <c r="E38" s="142"/>
      <c r="F38" s="142"/>
    </row>
    <row r="39" spans="1:7" x14ac:dyDescent="0.2">
      <c r="A39" s="34"/>
    </row>
  </sheetData>
  <mergeCells count="41">
    <mergeCell ref="D32:E32"/>
    <mergeCell ref="D31:E31"/>
    <mergeCell ref="D34:E34"/>
    <mergeCell ref="A34:C35"/>
    <mergeCell ref="A36:C37"/>
    <mergeCell ref="A33:F33"/>
    <mergeCell ref="A38:F38"/>
    <mergeCell ref="A17:C17"/>
    <mergeCell ref="A18:C18"/>
    <mergeCell ref="A22:C22"/>
    <mergeCell ref="A28:C28"/>
    <mergeCell ref="A26:C26"/>
    <mergeCell ref="A32:C32"/>
    <mergeCell ref="A19:C19"/>
    <mergeCell ref="A20:C21"/>
    <mergeCell ref="A23:C23"/>
    <mergeCell ref="D35:E35"/>
    <mergeCell ref="D36:E36"/>
    <mergeCell ref="D37:E37"/>
    <mergeCell ref="A24:C24"/>
    <mergeCell ref="A25:C25"/>
    <mergeCell ref="A27:C27"/>
    <mergeCell ref="E1:M1"/>
    <mergeCell ref="E3:E4"/>
    <mergeCell ref="F3:F4"/>
    <mergeCell ref="G3:G4"/>
    <mergeCell ref="H3:H4"/>
    <mergeCell ref="J3:J4"/>
    <mergeCell ref="M3:M4"/>
    <mergeCell ref="K3:K4"/>
    <mergeCell ref="G24:K28"/>
    <mergeCell ref="G18:K19"/>
    <mergeCell ref="A31:C31"/>
    <mergeCell ref="A16:C16"/>
    <mergeCell ref="A9:C9"/>
    <mergeCell ref="A10:C10"/>
    <mergeCell ref="A13:C13"/>
    <mergeCell ref="A12:C12"/>
    <mergeCell ref="A11:C11"/>
    <mergeCell ref="A14:C15"/>
    <mergeCell ref="A29:C30"/>
  </mergeCells>
  <conditionalFormatting sqref="E1:M4">
    <cfRule type="expression" priority="15">
      <formula>$D$4=Yes</formula>
    </cfRule>
  </conditionalFormatting>
  <conditionalFormatting sqref="A18:F18">
    <cfRule type="expression" dxfId="8" priority="8">
      <formula>$E$19&lt;&gt;0</formula>
    </cfRule>
  </conditionalFormatting>
  <conditionalFormatting sqref="A19:F19">
    <cfRule type="expression" dxfId="7" priority="7">
      <formula>$D$18&lt;&gt;0</formula>
    </cfRule>
  </conditionalFormatting>
  <conditionalFormatting sqref="G18">
    <cfRule type="expression" dxfId="6" priority="5">
      <formula>OR($D$18=0,$E$19=0)</formula>
    </cfRule>
    <cfRule type="expression" dxfId="5" priority="6">
      <formula>AND($D$18&lt;&gt;0,$E$19&lt;&gt;0)</formula>
    </cfRule>
  </conditionalFormatting>
  <conditionalFormatting sqref="E1:M4 D5:E5 F31:F32 A31:D32">
    <cfRule type="expression" dxfId="4" priority="14">
      <formula>$D$4="No"</formula>
    </cfRule>
  </conditionalFormatting>
  <conditionalFormatting sqref="G24:K28">
    <cfRule type="expression" dxfId="3" priority="3">
      <formula>$E$23=0</formula>
    </cfRule>
    <cfRule type="expression" dxfId="2" priority="4">
      <formula>$E$23&lt;&gt;0</formula>
    </cfRule>
  </conditionalFormatting>
  <conditionalFormatting sqref="A24:A25 A26:F26 A28:F28 D24:F25 A27 D27:F27">
    <cfRule type="expression" dxfId="1" priority="2">
      <formula>$E$23&lt;&gt;0</formula>
    </cfRule>
  </conditionalFormatting>
  <conditionalFormatting sqref="A23 D23:F23">
    <cfRule type="expression" dxfId="0" priority="1">
      <formula>$E$23=0</formula>
    </cfRule>
  </conditionalFormatting>
  <dataValidations count="6">
    <dataValidation type="list" allowBlank="1" showInputMessage="1" showErrorMessage="1" sqref="D4">
      <formula1>P2:P3</formula1>
    </dataValidation>
    <dataValidation type="list" allowBlank="1" showInputMessage="1" showErrorMessage="1" sqref="F17">
      <formula1>$P$4:$P$5</formula1>
    </dataValidation>
    <dataValidation type="list" allowBlank="1" showDropDown="1" showInputMessage="1" showErrorMessage="1" sqref="F10:F13">
      <formula1>$P$6</formula1>
    </dataValidation>
    <dataValidation type="list" allowBlank="1" showInputMessage="1" showErrorMessage="1" sqref="F18 F28 F26">
      <formula1>$R$4:$R$5</formula1>
    </dataValidation>
    <dataValidation type="list" allowBlank="1" showInputMessage="1" showErrorMessage="1" sqref="F19 F25">
      <formula1>$P$5</formula1>
    </dataValidation>
    <dataValidation type="list" allowBlank="1" showInputMessage="1" showErrorMessage="1" sqref="F27 F23:F24">
      <formula1>$Q$4:$Q$5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85" zoomScaleNormal="85" workbookViewId="0">
      <selection activeCell="C2" sqref="C2"/>
    </sheetView>
  </sheetViews>
  <sheetFormatPr defaultRowHeight="15" x14ac:dyDescent="0.25"/>
  <cols>
    <col min="1" max="1" width="23.140625" style="23" bestFit="1" customWidth="1"/>
    <col min="2" max="2" width="25.5703125" style="23" bestFit="1" customWidth="1"/>
    <col min="3" max="3" width="12" style="23" bestFit="1" customWidth="1"/>
    <col min="4" max="4" width="5.7109375" style="23" bestFit="1" customWidth="1"/>
    <col min="5" max="5" width="2.5703125" style="23" customWidth="1"/>
    <col min="6" max="6" width="64.140625" style="23" customWidth="1"/>
    <col min="8" max="8" width="9.140625" style="23"/>
  </cols>
  <sheetData>
    <row r="1" spans="1:6" ht="16.5" thickTop="1" thickBot="1" x14ac:dyDescent="0.3">
      <c r="A1" s="24"/>
      <c r="B1" s="24" t="s">
        <v>22</v>
      </c>
      <c r="C1" s="24" t="s">
        <v>18</v>
      </c>
      <c r="D1" s="24" t="s">
        <v>5</v>
      </c>
      <c r="E1" s="24"/>
      <c r="F1" s="24" t="s">
        <v>23</v>
      </c>
    </row>
    <row r="2" spans="1:6" ht="15.75" thickTop="1" x14ac:dyDescent="0.25">
      <c r="A2" s="169" t="s">
        <v>91</v>
      </c>
      <c r="B2" s="49" t="s">
        <v>24</v>
      </c>
      <c r="C2" s="50">
        <v>4</v>
      </c>
      <c r="D2" s="51" t="s">
        <v>17</v>
      </c>
      <c r="E2" s="49"/>
      <c r="F2" s="52" t="s">
        <v>25</v>
      </c>
    </row>
    <row r="3" spans="1:6" ht="30" x14ac:dyDescent="0.25">
      <c r="A3" s="170"/>
      <c r="B3" s="53" t="s">
        <v>26</v>
      </c>
      <c r="C3" s="54">
        <v>100</v>
      </c>
      <c r="D3" s="55" t="s">
        <v>27</v>
      </c>
      <c r="E3" s="53"/>
      <c r="F3" s="56" t="s">
        <v>67</v>
      </c>
    </row>
    <row r="4" spans="1:6" ht="30" x14ac:dyDescent="0.25">
      <c r="A4" s="170"/>
      <c r="B4" s="53" t="s">
        <v>28</v>
      </c>
      <c r="C4" s="54">
        <v>4</v>
      </c>
      <c r="D4" s="55" t="s">
        <v>29</v>
      </c>
      <c r="E4" s="53"/>
      <c r="F4" s="56" t="s">
        <v>30</v>
      </c>
    </row>
    <row r="5" spans="1:6" x14ac:dyDescent="0.25">
      <c r="A5" s="170"/>
      <c r="B5" s="53" t="s">
        <v>31</v>
      </c>
      <c r="C5" s="54">
        <v>10</v>
      </c>
      <c r="D5" s="55" t="s">
        <v>29</v>
      </c>
      <c r="E5" s="53"/>
      <c r="F5" s="56" t="s">
        <v>32</v>
      </c>
    </row>
    <row r="6" spans="1:6" x14ac:dyDescent="0.25">
      <c r="A6" s="170"/>
      <c r="B6" s="53" t="s">
        <v>33</v>
      </c>
      <c r="C6" s="54">
        <v>1.2</v>
      </c>
      <c r="D6" s="55" t="s">
        <v>34</v>
      </c>
      <c r="E6" s="53"/>
      <c r="F6" s="56" t="s">
        <v>35</v>
      </c>
    </row>
    <row r="7" spans="1:6" ht="30" x14ac:dyDescent="0.25">
      <c r="A7" s="170"/>
      <c r="B7" s="53" t="s">
        <v>68</v>
      </c>
      <c r="C7" s="54">
        <v>25</v>
      </c>
      <c r="D7" s="55" t="s">
        <v>15</v>
      </c>
      <c r="E7" s="53"/>
      <c r="F7" s="56" t="s">
        <v>69</v>
      </c>
    </row>
    <row r="8" spans="1:6" ht="15.75" thickBot="1" x14ac:dyDescent="0.3">
      <c r="A8" s="170"/>
      <c r="B8" s="57" t="s">
        <v>36</v>
      </c>
      <c r="C8" s="58">
        <v>0.03</v>
      </c>
      <c r="D8" s="59" t="s">
        <v>17</v>
      </c>
      <c r="E8" s="57"/>
      <c r="F8" s="60" t="s">
        <v>37</v>
      </c>
    </row>
    <row r="9" spans="1:6" ht="15.75" thickTop="1" x14ac:dyDescent="0.25">
      <c r="A9" s="171" t="s">
        <v>38</v>
      </c>
      <c r="B9" s="27" t="s">
        <v>39</v>
      </c>
      <c r="C9" s="27">
        <f>$C$6*(1+$C$7/100)</f>
        <v>1.5</v>
      </c>
      <c r="D9" s="27" t="s">
        <v>34</v>
      </c>
      <c r="E9" s="27"/>
      <c r="F9" s="28" t="s">
        <v>40</v>
      </c>
    </row>
    <row r="10" spans="1:6" ht="30" x14ac:dyDescent="0.25">
      <c r="A10" s="172"/>
      <c r="B10" s="25" t="s">
        <v>41</v>
      </c>
      <c r="C10" s="25">
        <f>$C$4/1000</f>
        <v>4.0000000000000001E-3</v>
      </c>
      <c r="D10" s="25" t="s">
        <v>42</v>
      </c>
      <c r="E10" s="25"/>
      <c r="F10" s="26" t="s">
        <v>43</v>
      </c>
    </row>
    <row r="11" spans="1:6" ht="45" x14ac:dyDescent="0.25">
      <c r="A11" s="172"/>
      <c r="B11" s="25" t="s">
        <v>44</v>
      </c>
      <c r="C11" s="25">
        <f>2*(150+$C$3)</f>
        <v>500</v>
      </c>
      <c r="D11" s="25" t="s">
        <v>27</v>
      </c>
      <c r="E11" s="25"/>
      <c r="F11" s="26" t="s">
        <v>45</v>
      </c>
    </row>
    <row r="12" spans="1:6" x14ac:dyDescent="0.25">
      <c r="A12" s="172"/>
      <c r="B12" s="25" t="s">
        <v>46</v>
      </c>
      <c r="C12" s="25">
        <f>C11*C9/1000000</f>
        <v>7.5000000000000002E-4</v>
      </c>
      <c r="D12" s="25" t="s">
        <v>42</v>
      </c>
      <c r="E12" s="25"/>
      <c r="F12" s="26" t="s">
        <v>47</v>
      </c>
    </row>
    <row r="13" spans="1:6" ht="18" x14ac:dyDescent="0.25">
      <c r="A13" s="172"/>
      <c r="B13" s="25" t="s">
        <v>48</v>
      </c>
      <c r="C13" s="39">
        <f>$C$2*(EXP(-C10/C12))*1000</f>
        <v>19.311799975325766</v>
      </c>
      <c r="D13" s="25" t="s">
        <v>1</v>
      </c>
      <c r="E13" s="25"/>
      <c r="F13" s="26" t="s">
        <v>49</v>
      </c>
    </row>
    <row r="14" spans="1:6" ht="45" x14ac:dyDescent="0.25">
      <c r="A14" s="172"/>
      <c r="B14" s="26" t="s">
        <v>50</v>
      </c>
      <c r="C14" s="39">
        <f>-C12*LN(0.001/$C$2)*1000</f>
        <v>6.2205372300765207</v>
      </c>
      <c r="D14" s="25" t="s">
        <v>29</v>
      </c>
      <c r="E14" s="25"/>
      <c r="F14" s="30" t="str">
        <f>CONCATENATE("Sample time that is required to obtain 1mV of accuracy on the first sample. Sample time required is ", ROUND(C14/C12/1000,3), " times the RC value as selected by the parameters above.")</f>
        <v>Sample time that is required to obtain 1mV of accuracy on the first sample. Sample time required is 8.294 times the RC value as selected by the parameters above.</v>
      </c>
    </row>
    <row r="15" spans="1:6" ht="45.75" thickBot="1" x14ac:dyDescent="0.3">
      <c r="A15" s="173"/>
      <c r="B15" s="26" t="s">
        <v>51</v>
      </c>
      <c r="C15" s="40">
        <f>-C12*LN(0.0001/$C$2)*1000</f>
        <v>7.9474760498220549</v>
      </c>
      <c r="D15" s="29" t="s">
        <v>29</v>
      </c>
      <c r="E15" s="29"/>
      <c r="F15" s="30" t="str">
        <f>CONCATENATE("Sample time that is required to obtain 100µV of accuracy on the first sample. Sample time required is ", ROUND(C15/C12/1000,3), " times the RC value as selected by the parameters above.")</f>
        <v>Sample time that is required to obtain 100µV of accuracy on the first sample. Sample time required is 10.597 times the RC value as selected by the parameters above.</v>
      </c>
    </row>
    <row r="16" spans="1:6" ht="31.5" thickTop="1" thickBot="1" x14ac:dyDescent="0.3">
      <c r="A16" s="174" t="s">
        <v>52</v>
      </c>
      <c r="B16" s="27" t="s">
        <v>53</v>
      </c>
      <c r="C16" s="41">
        <f>($C$5-$C$4)/1000</f>
        <v>6.0000000000000001E-3</v>
      </c>
      <c r="D16" s="27" t="s">
        <v>42</v>
      </c>
      <c r="E16" s="27"/>
      <c r="F16" s="28" t="s">
        <v>54</v>
      </c>
    </row>
    <row r="17" spans="1:6" ht="15.75" thickTop="1" x14ac:dyDescent="0.25">
      <c r="A17" s="175"/>
      <c r="B17" s="25" t="s">
        <v>55</v>
      </c>
      <c r="C17" s="44">
        <f>$C$6*(1-$C$7/100)</f>
        <v>0.89999999999999991</v>
      </c>
      <c r="D17" s="25" t="s">
        <v>34</v>
      </c>
      <c r="E17" s="25"/>
      <c r="F17" s="28" t="s">
        <v>56</v>
      </c>
    </row>
    <row r="18" spans="1:6" ht="30.75" thickBot="1" x14ac:dyDescent="0.3">
      <c r="A18" s="176"/>
      <c r="B18" s="29" t="s">
        <v>57</v>
      </c>
      <c r="C18" s="40">
        <f>C16/C17</f>
        <v>6.6666666666666671E-3</v>
      </c>
      <c r="D18" s="29" t="s">
        <v>17</v>
      </c>
      <c r="E18" s="29"/>
      <c r="F18" s="31" t="s">
        <v>58</v>
      </c>
    </row>
    <row r="19" spans="1:6" ht="30.75" thickTop="1" x14ac:dyDescent="0.25">
      <c r="A19" s="177" t="s">
        <v>59</v>
      </c>
      <c r="B19" s="35" t="s">
        <v>60</v>
      </c>
      <c r="C19" s="42">
        <f>C8+C18</f>
        <v>3.6666666666666667E-2</v>
      </c>
      <c r="D19" s="35" t="s">
        <v>17</v>
      </c>
      <c r="E19" s="35"/>
      <c r="F19" s="36" t="s">
        <v>61</v>
      </c>
    </row>
    <row r="20" spans="1:6" ht="30.75" thickBot="1" x14ac:dyDescent="0.3">
      <c r="A20" s="178"/>
      <c r="B20" s="37" t="s">
        <v>48</v>
      </c>
      <c r="C20" s="43">
        <f>C19*EXP(-C10/C12)*1000</f>
        <v>0.17702483310715286</v>
      </c>
      <c r="D20" s="37" t="s">
        <v>1</v>
      </c>
      <c r="E20" s="37"/>
      <c r="F20" s="38" t="s">
        <v>62</v>
      </c>
    </row>
    <row r="21" spans="1:6" ht="82.5" customHeight="1" thickTop="1" x14ac:dyDescent="0.25">
      <c r="A21" s="167" t="s">
        <v>70</v>
      </c>
      <c r="B21" s="168"/>
      <c r="C21" s="168"/>
      <c r="D21" s="168"/>
      <c r="E21" s="168"/>
      <c r="F21" s="168"/>
    </row>
    <row r="24" spans="1:6" x14ac:dyDescent="0.25">
      <c r="A24" s="32"/>
    </row>
  </sheetData>
  <mergeCells count="5">
    <mergeCell ref="A21:F21"/>
    <mergeCell ref="A2:A8"/>
    <mergeCell ref="A9:A15"/>
    <mergeCell ref="A16:A18"/>
    <mergeCell ref="A19:A20"/>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Total Error Calculations</vt:lpstr>
      <vt:lpstr>MAX1492X Error Calculations</vt:lpstr>
    </vt:vector>
  </TitlesOfParts>
  <Company>Maxim Integrated Products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 User</dc:creator>
  <cp:lastModifiedBy>Jeremy Georges</cp:lastModifiedBy>
  <cp:lastPrinted>2013-08-07T23:19:37Z</cp:lastPrinted>
  <dcterms:created xsi:type="dcterms:W3CDTF">2012-04-10T09:26:22Z</dcterms:created>
  <dcterms:modified xsi:type="dcterms:W3CDTF">2013-09-25T21:46:53Z</dcterms:modified>
</cp:coreProperties>
</file>