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analog.sharepoint.com/sites/EnergyMeteringPlatform/Shared Documents/Applications/EVK/EVK_Software/Datasheet_Version/"/>
    </mc:Choice>
  </mc:AlternateContent>
  <xr:revisionPtr revIDLastSave="902" documentId="14_{EB4D945D-2500-4DE2-9BD8-F119A2314CA7}" xr6:coauthVersionLast="47" xr6:coauthVersionMax="47" xr10:uidLastSave="{D5589C83-EDD2-41CC-90A6-635835BFBBF9}"/>
  <bookViews>
    <workbookView xWindow="48780" yWindow="2790" windowWidth="28020" windowHeight="15885" activeTab="6" xr2:uid="{19740145-6A5C-4C10-8B2B-E5CE1B190CB2}"/>
  </bookViews>
  <sheets>
    <sheet name="Read Me" sheetId="7" r:id="rId1"/>
    <sheet name="System Configuration" sheetId="5" r:id="rId2"/>
    <sheet name="Calibration Calculations" sheetId="2" r:id="rId3"/>
    <sheet name="Conversion Equations" sheetId="1" r:id="rId4"/>
    <sheet name="Dip &amp; Swell Setup" sheetId="8" r:id="rId5"/>
    <sheet name="CF Pulse Setup" sheetId="3" r:id="rId6"/>
    <sheet name="Revision Tracking"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9" i="3"/>
  <c r="D5" i="3"/>
  <c r="D4" i="3"/>
  <c r="D3" i="3"/>
  <c r="C22" i="1"/>
  <c r="C23" i="1"/>
  <c r="C28" i="1"/>
  <c r="C15" i="1"/>
  <c r="G22" i="1"/>
  <c r="G23" i="1"/>
  <c r="C9" i="2" l="1"/>
  <c r="G20" i="8" l="1"/>
  <c r="C20" i="8"/>
  <c r="G18" i="8"/>
  <c r="C18" i="8"/>
  <c r="G16" i="8"/>
  <c r="G17" i="8" s="1"/>
  <c r="G19" i="8" s="1"/>
  <c r="C16" i="8"/>
  <c r="C17" i="8" s="1"/>
  <c r="C19" i="8" s="1"/>
  <c r="C10" i="8"/>
  <c r="G10" i="8"/>
  <c r="G8" i="8"/>
  <c r="C8" i="8"/>
  <c r="G6" i="8"/>
  <c r="G7" i="8" s="1"/>
  <c r="G9" i="8" s="1"/>
  <c r="C6" i="8"/>
  <c r="C7" i="8" s="1"/>
  <c r="C9" i="8" s="1"/>
  <c r="G6" i="1"/>
  <c r="G7" i="1" l="1"/>
  <c r="G23" i="2" l="1"/>
  <c r="G26" i="2"/>
  <c r="G28" i="2"/>
  <c r="C38" i="2"/>
  <c r="C6" i="1"/>
  <c r="C7" i="1" s="1"/>
  <c r="C29" i="1" l="1"/>
  <c r="C36" i="2"/>
  <c r="C34" i="2"/>
  <c r="D14" i="3" l="1"/>
  <c r="D8" i="3"/>
  <c r="G5" i="2"/>
  <c r="C7" i="2"/>
  <c r="C28" i="2"/>
  <c r="C24" i="1"/>
  <c r="G24" i="2"/>
  <c r="C24" i="2"/>
  <c r="C23" i="2"/>
  <c r="C26" i="2" s="1"/>
  <c r="G14" i="2"/>
  <c r="C14" i="2"/>
  <c r="C5" i="2"/>
  <c r="C29" i="2" l="1"/>
  <c r="G24" i="1"/>
  <c r="G29" i="2"/>
  <c r="G30" i="2" s="1"/>
  <c r="G40" i="1"/>
  <c r="C41" i="1"/>
  <c r="C40" i="1"/>
  <c r="C42" i="1" s="1"/>
  <c r="C33" i="1"/>
  <c r="C34" i="1" s="1"/>
  <c r="C35" i="1" s="1"/>
  <c r="C37" i="2"/>
  <c r="C16" i="1"/>
  <c r="G15" i="1"/>
  <c r="G16" i="1" s="1"/>
  <c r="G17" i="1" s="1"/>
  <c r="C16" i="2"/>
  <c r="G16" i="2"/>
  <c r="G8" i="1"/>
  <c r="G7" i="2"/>
  <c r="G42" i="1" l="1"/>
  <c r="G43" i="1" s="1"/>
  <c r="C43" i="1"/>
  <c r="C8" i="2"/>
  <c r="C17" i="1"/>
  <c r="C39" i="2"/>
  <c r="C8" i="1"/>
  <c r="C30" i="2"/>
  <c r="C17" i="2"/>
  <c r="C18" i="2" s="1"/>
  <c r="G17" i="2"/>
  <c r="G18" i="2" s="1"/>
  <c r="G8" i="2"/>
  <c r="G9" i="2" s="1"/>
</calcChain>
</file>

<file path=xl/sharedStrings.xml><?xml version="1.0" encoding="utf-8"?>
<sst xmlns="http://schemas.openxmlformats.org/spreadsheetml/2006/main" count="351" uniqueCount="150">
  <si>
    <t>RMS Conversion</t>
  </si>
  <si>
    <t>Voltage Conversion</t>
  </si>
  <si>
    <t>Units</t>
  </si>
  <si>
    <t>Current Conversion</t>
  </si>
  <si>
    <t>IFS</t>
  </si>
  <si>
    <t>Input Voltage</t>
  </si>
  <si>
    <t>Vrms</t>
  </si>
  <si>
    <t>Input Current</t>
  </si>
  <si>
    <t>Arms</t>
  </si>
  <si>
    <t>VFS</t>
  </si>
  <si>
    <t>RMS Measured</t>
  </si>
  <si>
    <t>Hex</t>
  </si>
  <si>
    <t>AUXFS</t>
  </si>
  <si>
    <t>Decimal</t>
  </si>
  <si>
    <t>RMS_CODES</t>
  </si>
  <si>
    <t>xVRMS</t>
  </si>
  <si>
    <t>xIRMS</t>
  </si>
  <si>
    <t>POW_CODES</t>
  </si>
  <si>
    <t>% Error</t>
  </si>
  <si>
    <t>%</t>
  </si>
  <si>
    <t>PCF_CODES</t>
  </si>
  <si>
    <t>Power Calculation</t>
  </si>
  <si>
    <t>PF</t>
  </si>
  <si>
    <t>xWATT Measured</t>
  </si>
  <si>
    <t>xVA Measured</t>
  </si>
  <si>
    <t>xWATT</t>
  </si>
  <si>
    <t>Watts</t>
  </si>
  <si>
    <t>xVA</t>
  </si>
  <si>
    <t>VA</t>
  </si>
  <si>
    <t>%Error</t>
  </si>
  <si>
    <t>Energy Calculation</t>
  </si>
  <si>
    <t>xWATT_xx_HI Measured</t>
  </si>
  <si>
    <t>xVA_HI Measured</t>
  </si>
  <si>
    <t>xWATT_xx_LO Measured</t>
  </si>
  <si>
    <t>xVA_LO Measured</t>
  </si>
  <si>
    <t>Energy Converted</t>
  </si>
  <si>
    <t>Power Factor Calculation</t>
  </si>
  <si>
    <t>xPF Measured</t>
  </si>
  <si>
    <t>PF Converted</t>
  </si>
  <si>
    <t>Period Calculation</t>
  </si>
  <si>
    <t>xPERIOD Measured</t>
  </si>
  <si>
    <t>xPERIOD Converted</t>
  </si>
  <si>
    <t>s</t>
  </si>
  <si>
    <t>Hz</t>
  </si>
  <si>
    <t>Angle Calculation</t>
  </si>
  <si>
    <t>ANGL_X_Y Measured</t>
  </si>
  <si>
    <t xml:space="preserve">Hex </t>
  </si>
  <si>
    <t>Line Frequency</t>
  </si>
  <si>
    <t>ANGL_X_Y Converted</t>
  </si>
  <si>
    <t>radians</t>
  </si>
  <si>
    <t>Degrees</t>
  </si>
  <si>
    <t>RMS Gain Calibration</t>
  </si>
  <si>
    <t>xVRMS Expected</t>
  </si>
  <si>
    <t>xIRMS Expected</t>
  </si>
  <si>
    <t>xVRMS Measured</t>
  </si>
  <si>
    <t>xIRMS Measured</t>
  </si>
  <si>
    <t>Gain Val (xVGAIN)</t>
  </si>
  <si>
    <t>Gain Val (xIGAIN)</t>
  </si>
  <si>
    <t>RMS Offset Calibration</t>
  </si>
  <si>
    <t>Offset Val (xVRMSOS)</t>
  </si>
  <si>
    <t>Offset Val (xIRMSOS)</t>
  </si>
  <si>
    <t>IFS percentage of FS</t>
  </si>
  <si>
    <t>% of FS</t>
  </si>
  <si>
    <t>VFS percentage of FS</t>
  </si>
  <si>
    <t>EGY_TIME</t>
  </si>
  <si>
    <t>xPGAIN</t>
  </si>
  <si>
    <t>xWATTOS</t>
  </si>
  <si>
    <t>Phase Calibration</t>
  </si>
  <si>
    <t>Input Frequency</t>
  </si>
  <si>
    <t>phi</t>
  </si>
  <si>
    <t>omega</t>
  </si>
  <si>
    <t>xPHCAL</t>
  </si>
  <si>
    <t>Voltage Input</t>
  </si>
  <si>
    <t>Meter Constant</t>
  </si>
  <si>
    <t>POW Codes</t>
  </si>
  <si>
    <t>CFx_THR</t>
  </si>
  <si>
    <t>decimal</t>
  </si>
  <si>
    <t>impls/kWHr</t>
  </si>
  <si>
    <t>System Configuration</t>
  </si>
  <si>
    <t>Full Scale Codes</t>
  </si>
  <si>
    <t>Power Calibration Gain</t>
  </si>
  <si>
    <t>Power Calibration Offset</t>
  </si>
  <si>
    <t>Current Channel</t>
  </si>
  <si>
    <t>Voltage Channels</t>
  </si>
  <si>
    <t>Current Channel (Same for Half and Full Cycle RMS)</t>
  </si>
  <si>
    <t>Voltage Channels (Same for Half and Full Cycle RMS)</t>
  </si>
  <si>
    <t>5C2263</t>
  </si>
  <si>
    <t>1AAA</t>
  </si>
  <si>
    <t>2D0595</t>
  </si>
  <si>
    <t>1CBA</t>
  </si>
  <si>
    <t>WATT Seconds</t>
  </si>
  <si>
    <t>xWATTHR_SIGNED_HI Expected</t>
  </si>
  <si>
    <t>xWATTHR_SIGNED_HI Measured</t>
  </si>
  <si>
    <t>xWATTHR_SIGNED_HII Measured</t>
  </si>
  <si>
    <t>No. of Active Phases</t>
  </si>
  <si>
    <t>Expected CF Frequency</t>
  </si>
  <si>
    <t>170F13E</t>
  </si>
  <si>
    <t>4008CA8</t>
  </si>
  <si>
    <t>1FF5A98</t>
  </si>
  <si>
    <t>BE5D</t>
  </si>
  <si>
    <t>2B6FFA</t>
  </si>
  <si>
    <t>E316</t>
  </si>
  <si>
    <t>5C3D03</t>
  </si>
  <si>
    <t>40017B0</t>
  </si>
  <si>
    <t>Expected CF Frequency for Given Input (Active Phases)</t>
  </si>
  <si>
    <t>Current Input (All Active Phases)</t>
  </si>
  <si>
    <t>Revision</t>
  </si>
  <si>
    <t>Initial Release</t>
  </si>
  <si>
    <t>Description of Changes</t>
  </si>
  <si>
    <t>Details</t>
  </si>
  <si>
    <t>Tabs</t>
  </si>
  <si>
    <t>Calibration Calculations</t>
  </si>
  <si>
    <t>Conversion Equations</t>
  </si>
  <si>
    <t>Summary on how to use this tool:</t>
  </si>
  <si>
    <r>
      <t xml:space="preserve">NOTE: Only cells that are highlighted </t>
    </r>
    <r>
      <rPr>
        <sz val="11"/>
        <color theme="5"/>
        <rFont val="Calibri"/>
        <family val="2"/>
        <scheme val="minor"/>
      </rPr>
      <t>orange</t>
    </r>
    <r>
      <rPr>
        <sz val="11"/>
        <color rgb="FFFF0000"/>
        <rFont val="Calibri"/>
        <family val="2"/>
        <scheme val="minor"/>
      </rPr>
      <t xml:space="preserve"> should be changed. Leave all other cells as defaults.</t>
    </r>
  </si>
  <si>
    <t xml:space="preserve">This sheet contains all the relevant formulas
for converting the output registers to real units. The formulas and examples can be found in the "Full Scale Codes and Conversion Equations" section of the ADE9178 Datasheet. </t>
  </si>
  <si>
    <t>This sheet contains all the relevent formulas for calculating the calibration coefficients. All defaults are the recommended values specified in the "Calibration Method" section of the ADE9178 Datasheet</t>
  </si>
  <si>
    <t>This sheet contains the full scale currents and voltages for your specific setup. i.e. the current/voltage that will produce full scale at the ADC input. See the "Full Scale Codes and Conversion Equations" section of the ADE9178 Datasheet for more details.
The defaults are for the ADE9178EVKIT#.</t>
  </si>
  <si>
    <t>CF Pulse Setup</t>
  </si>
  <si>
    <t>Date Released</t>
  </si>
  <si>
    <t>This sheet contains the formula to calculate
the CF Threshold for a certain impulses per kWHr. See the "CF Pulse Generation" section in the ADE9178 Datasheet for more details.</t>
  </si>
  <si>
    <t>50001c</t>
  </si>
  <si>
    <t>173b77</t>
  </si>
  <si>
    <t>3B400</t>
  </si>
  <si>
    <t>4FFF56</t>
  </si>
  <si>
    <t>Voltage Level</t>
  </si>
  <si>
    <t>Current Level</t>
  </si>
  <si>
    <t>V</t>
  </si>
  <si>
    <t>A</t>
  </si>
  <si>
    <t>No. of Line Cycles</t>
  </si>
  <si>
    <t>Percentage of Voltage FS</t>
  </si>
  <si>
    <t>Percentage of Voltage ADC FS</t>
  </si>
  <si>
    <t>Percentage of Current ADC FS</t>
  </si>
  <si>
    <t>Dip Event Configuration</t>
  </si>
  <si>
    <t>Swell Event Configuration</t>
  </si>
  <si>
    <t>xVSWELLONE_LVL</t>
  </si>
  <si>
    <t>xVSWELLONE_CYC</t>
  </si>
  <si>
    <t>xISWELLONE_LVL</t>
  </si>
  <si>
    <t>xISWELLONE_CYC</t>
  </si>
  <si>
    <t>Voltage (Same for One and Half Cycle)</t>
  </si>
  <si>
    <t>Current (Same for One and Half Cycle)</t>
  </si>
  <si>
    <t>xVDIPONE_CYC</t>
  </si>
  <si>
    <t>xVDIPONE_LVL</t>
  </si>
  <si>
    <t>xIDIPONE_LVL</t>
  </si>
  <si>
    <t>xIDIPONE_CYC</t>
  </si>
  <si>
    <t>Dip &amp; Swell Setup</t>
  </si>
  <si>
    <t>This sheet contains the formula to calculate
the Dip and Swell thresholds. See the "Dip and Swells" section in the ADE9178 Datasheet for more details.</t>
  </si>
  <si>
    <t>CF Pulse Frequency at FS</t>
  </si>
  <si>
    <t>2D05DA</t>
  </si>
  <si>
    <t>1CC7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</si>
</sst>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
    <numFmt numFmtId="165" formatCode="0.00000"/>
    <numFmt numFmtId="166" formatCode="0.000"/>
    <numFmt numFmtId="167" formatCode="0.0000000"/>
    <numFmt numFmtId="168" formatCode="0.00000000000"/>
    <numFmt numFmtId="169" formatCode="0.000000"/>
    <numFmt numFmtId="170" formatCode="0.000000000"/>
  </numFmts>
  <fonts count="5" x14ac:knownFonts="1">
    <font>
      <sz val="11"/>
      <color theme="1"/>
      <name val="Calibri"/>
      <family val="2"/>
      <scheme val="minor"/>
    </font>
    <font>
      <sz val="11"/>
      <color rgb="FF3F3F76"/>
      <name val="Calibri"/>
      <family val="2"/>
      <scheme val="minor"/>
    </font>
    <font>
      <b/>
      <sz val="11"/>
      <color rgb="FFFA7D00"/>
      <name val="Calibri"/>
      <family val="2"/>
      <scheme val="minor"/>
    </font>
    <font>
      <sz val="11"/>
      <color rgb="FFFF0000"/>
      <name val="Calibri"/>
      <family val="2"/>
      <scheme val="minor"/>
    </font>
    <font>
      <sz val="11"/>
      <color theme="5"/>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0" fontId="2" fillId="3" borderId="1" applyNumberFormat="0" applyAlignment="0" applyProtection="0"/>
  </cellStyleXfs>
  <cellXfs count="38">
    <xf numFmtId="0" fontId="0" fillId="0" borderId="0" xfId="0"/>
    <xf numFmtId="3" fontId="0" fillId="0" borderId="0" xfId="0" applyNumberFormat="1"/>
    <xf numFmtId="0" fontId="0" fillId="0" borderId="0" xfId="0" applyAlignment="1">
      <alignment horizontal="center"/>
    </xf>
    <xf numFmtId="1" fontId="0" fillId="0" borderId="0" xfId="0" applyNumberFormat="1"/>
    <xf numFmtId="1" fontId="2" fillId="3" borderId="1" xfId="2" applyNumberFormat="1"/>
    <xf numFmtId="0" fontId="2" fillId="3" borderId="1" xfId="2"/>
    <xf numFmtId="1" fontId="1" fillId="2" borderId="0" xfId="1" applyNumberFormat="1" applyBorder="1" applyAlignment="1">
      <alignment horizontal="center"/>
    </xf>
    <xf numFmtId="0" fontId="1" fillId="2" borderId="1" xfId="1"/>
    <xf numFmtId="1" fontId="1" fillId="2" borderId="1" xfId="1" applyNumberFormat="1" applyAlignment="1">
      <alignment horizontal="left"/>
    </xf>
    <xf numFmtId="1" fontId="0" fillId="0" borderId="0" xfId="0" applyNumberFormat="1" applyAlignment="1">
      <alignment horizontal="left"/>
    </xf>
    <xf numFmtId="1" fontId="1" fillId="2" borderId="0" xfId="1" applyNumberFormat="1" applyBorder="1" applyAlignment="1">
      <alignment horizontal="left"/>
    </xf>
    <xf numFmtId="0" fontId="0" fillId="0" borderId="0" xfId="0" applyAlignment="1">
      <alignment horizontal="left"/>
    </xf>
    <xf numFmtId="1" fontId="2" fillId="3" borderId="1" xfId="2" applyNumberFormat="1" applyAlignment="1">
      <alignment horizontal="left"/>
    </xf>
    <xf numFmtId="2" fontId="1" fillId="2" borderId="1" xfId="1" applyNumberFormat="1" applyAlignment="1">
      <alignment horizontal="left"/>
    </xf>
    <xf numFmtId="166" fontId="2" fillId="3" borderId="1" xfId="2" applyNumberFormat="1"/>
    <xf numFmtId="165" fontId="0" fillId="0" borderId="0" xfId="0" applyNumberFormat="1" applyAlignment="1">
      <alignment horizontal="left"/>
    </xf>
    <xf numFmtId="11" fontId="1" fillId="2" borderId="1" xfId="1" applyNumberFormat="1"/>
    <xf numFmtId="167" fontId="0" fillId="0" borderId="0" xfId="0" applyNumberFormat="1"/>
    <xf numFmtId="168" fontId="0" fillId="0" borderId="0" xfId="0" applyNumberFormat="1"/>
    <xf numFmtId="0" fontId="0" fillId="0" borderId="0" xfId="0" applyAlignment="1">
      <alignment horizontal="center"/>
    </xf>
    <xf numFmtId="0" fontId="0" fillId="0" borderId="0" xfId="0" applyAlignment="1"/>
    <xf numFmtId="0" fontId="0" fillId="0" borderId="0" xfId="0" applyFont="1"/>
    <xf numFmtId="164" fontId="2" fillId="3" borderId="1" xfId="2" applyNumberFormat="1" applyAlignment="1">
      <alignment horizontal="right"/>
    </xf>
    <xf numFmtId="169" fontId="2" fillId="3" borderId="1" xfId="2" applyNumberFormat="1" applyAlignment="1">
      <alignment horizontal="right"/>
    </xf>
    <xf numFmtId="0" fontId="0" fillId="0" borderId="0" xfId="0" applyAlignment="1">
      <alignment wrapText="1"/>
    </xf>
    <xf numFmtId="0" fontId="3" fillId="0" borderId="0" xfId="0" applyFont="1"/>
    <xf numFmtId="0" fontId="0" fillId="0" borderId="0" xfId="0" applyAlignment="1">
      <alignment vertical="center"/>
    </xf>
    <xf numFmtId="0" fontId="0" fillId="0" borderId="0" xfId="0" applyAlignment="1">
      <alignment horizontal="left" vertical="center"/>
    </xf>
    <xf numFmtId="14" fontId="0" fillId="0" borderId="0" xfId="0" applyNumberFormat="1"/>
    <xf numFmtId="166" fontId="1" fillId="2" borderId="1" xfId="1" applyNumberFormat="1"/>
    <xf numFmtId="0" fontId="2" fillId="3" borderId="1" xfId="2" applyNumberFormat="1" applyAlignment="1">
      <alignment horizontal="left"/>
    </xf>
    <xf numFmtId="2" fontId="0" fillId="0" borderId="0" xfId="0" applyNumberFormat="1"/>
    <xf numFmtId="0" fontId="0" fillId="0" borderId="0" xfId="0" applyAlignment="1">
      <alignment horizontal="center"/>
    </xf>
    <xf numFmtId="0" fontId="0" fillId="0" borderId="0" xfId="0" applyAlignment="1">
      <alignment horizontal="center"/>
    </xf>
    <xf numFmtId="10" fontId="0" fillId="0" borderId="0" xfId="0" applyNumberFormat="1"/>
    <xf numFmtId="0" fontId="1" fillId="2" borderId="1" xfId="1" applyNumberFormat="1"/>
    <xf numFmtId="170" fontId="0" fillId="0" borderId="0" xfId="0" applyNumberFormat="1"/>
    <xf numFmtId="0" fontId="0" fillId="0" borderId="0" xfId="0" applyAlignment="1">
      <alignment horizontal="center"/>
    </xf>
  </cellXfs>
  <cellStyles count="3">
    <cellStyle name="Calculation" xfId="2" builtinId="2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FA16-98F2-4DF1-BA07-B0E5B69C1FD6}">
  <dimension ref="A1:B8"/>
  <sheetViews>
    <sheetView zoomScaleNormal="100" workbookViewId="0">
      <selection activeCell="B7" sqref="B7"/>
    </sheetView>
  </sheetViews>
  <sheetFormatPr defaultRowHeight="15" x14ac:dyDescent="0.25"/>
  <cols>
    <col min="1" max="1" width="81.85546875" bestFit="1" customWidth="1"/>
    <col min="2" max="2" width="38.5703125" customWidth="1"/>
  </cols>
  <sheetData>
    <row r="1" spans="1:2" x14ac:dyDescent="0.25">
      <c r="A1" t="s">
        <v>113</v>
      </c>
    </row>
    <row r="2" spans="1:2" x14ac:dyDescent="0.25">
      <c r="A2" s="25" t="s">
        <v>114</v>
      </c>
    </row>
    <row r="3" spans="1:2" x14ac:dyDescent="0.25">
      <c r="A3" t="s">
        <v>110</v>
      </c>
      <c r="B3" t="s">
        <v>109</v>
      </c>
    </row>
    <row r="4" spans="1:2" ht="110.25" customHeight="1" x14ac:dyDescent="0.25">
      <c r="A4" s="26" t="s">
        <v>78</v>
      </c>
      <c r="B4" s="24" t="s">
        <v>117</v>
      </c>
    </row>
    <row r="5" spans="1:2" ht="80.25" customHeight="1" x14ac:dyDescent="0.25">
      <c r="A5" s="27" t="s">
        <v>111</v>
      </c>
      <c r="B5" s="24" t="s">
        <v>116</v>
      </c>
    </row>
    <row r="6" spans="1:2" ht="96" customHeight="1" x14ac:dyDescent="0.25">
      <c r="A6" t="s">
        <v>112</v>
      </c>
      <c r="B6" s="24" t="s">
        <v>115</v>
      </c>
    </row>
    <row r="7" spans="1:2" ht="96" customHeight="1" x14ac:dyDescent="0.25">
      <c r="A7" t="s">
        <v>145</v>
      </c>
      <c r="B7" s="24" t="s">
        <v>146</v>
      </c>
    </row>
    <row r="8" spans="1:2" ht="79.5" customHeight="1" x14ac:dyDescent="0.25">
      <c r="A8" t="s">
        <v>118</v>
      </c>
      <c r="B8" s="24"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2A613-EFA9-43E3-B432-D153AC79AC43}">
  <dimension ref="B2:D9"/>
  <sheetViews>
    <sheetView zoomScaleNormal="100" workbookViewId="0">
      <selection activeCell="C7" sqref="C7"/>
    </sheetView>
  </sheetViews>
  <sheetFormatPr defaultRowHeight="15" x14ac:dyDescent="0.25"/>
  <cols>
    <col min="2" max="2" width="12.28515625" bestFit="1" customWidth="1"/>
    <col min="3" max="3" width="10.42578125" bestFit="1" customWidth="1"/>
    <col min="4" max="4" width="11.5703125" bestFit="1" customWidth="1"/>
    <col min="5" max="6" width="12.28515625" bestFit="1" customWidth="1"/>
  </cols>
  <sheetData>
    <row r="2" spans="2:4" x14ac:dyDescent="0.25">
      <c r="B2" s="37" t="s">
        <v>78</v>
      </c>
      <c r="C2" s="37"/>
      <c r="D2" s="37"/>
    </row>
    <row r="3" spans="2:4" x14ac:dyDescent="0.25">
      <c r="B3" t="s">
        <v>4</v>
      </c>
      <c r="C3" s="29">
        <v>44.188000000000002</v>
      </c>
      <c r="D3" t="s">
        <v>8</v>
      </c>
    </row>
    <row r="4" spans="2:4" x14ac:dyDescent="0.25">
      <c r="B4" t="s">
        <v>9</v>
      </c>
      <c r="C4" s="7">
        <v>707</v>
      </c>
      <c r="D4" t="s">
        <v>6</v>
      </c>
    </row>
    <row r="5" spans="2:4" x14ac:dyDescent="0.25">
      <c r="B5" t="s">
        <v>12</v>
      </c>
      <c r="C5" s="7">
        <v>707</v>
      </c>
      <c r="D5" t="s">
        <v>6</v>
      </c>
    </row>
    <row r="6" spans="2:4" x14ac:dyDescent="0.25">
      <c r="B6" s="37" t="s">
        <v>79</v>
      </c>
      <c r="C6" s="37"/>
      <c r="D6" s="37"/>
    </row>
    <row r="7" spans="2:4" x14ac:dyDescent="0.25">
      <c r="B7" t="s">
        <v>14</v>
      </c>
      <c r="C7">
        <v>107310840</v>
      </c>
    </row>
    <row r="8" spans="2:4" x14ac:dyDescent="0.25">
      <c r="B8" t="s">
        <v>17</v>
      </c>
      <c r="C8">
        <v>85829040</v>
      </c>
    </row>
    <row r="9" spans="2:4" x14ac:dyDescent="0.25">
      <c r="B9" t="s">
        <v>20</v>
      </c>
      <c r="C9">
        <v>6706531</v>
      </c>
    </row>
  </sheetData>
  <mergeCells count="2">
    <mergeCell ref="B2:D2"/>
    <mergeCell ref="B6:D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2078A-1D0E-47BB-844C-2C2BAC3D4FF1}">
  <dimension ref="B2:H39"/>
  <sheetViews>
    <sheetView zoomScaleNormal="100" workbookViewId="0">
      <selection activeCell="C30" sqref="C30"/>
    </sheetView>
  </sheetViews>
  <sheetFormatPr defaultRowHeight="15" x14ac:dyDescent="0.25"/>
  <cols>
    <col min="2" max="2" width="30.5703125" bestFit="1" customWidth="1"/>
    <col min="3" max="3" width="11.5703125" style="3" bestFit="1" customWidth="1"/>
    <col min="4" max="4" width="8.140625" bestFit="1" customWidth="1"/>
    <col min="5" max="5" width="10.5703125" customWidth="1"/>
    <col min="6" max="6" width="30.5703125" bestFit="1" customWidth="1"/>
    <col min="7" max="7" width="13.7109375" style="3" bestFit="1" customWidth="1"/>
    <col min="8" max="8" width="8.140625" bestFit="1" customWidth="1"/>
    <col min="10" max="10" width="11.140625" bestFit="1" customWidth="1"/>
    <col min="11" max="11" width="35.28515625" customWidth="1"/>
  </cols>
  <sheetData>
    <row r="2" spans="2:8" x14ac:dyDescent="0.25">
      <c r="B2" s="37" t="s">
        <v>51</v>
      </c>
      <c r="C2" s="37"/>
      <c r="D2" s="37"/>
      <c r="E2" s="37"/>
      <c r="F2" s="37"/>
      <c r="G2" s="37"/>
      <c r="H2" s="37"/>
    </row>
    <row r="3" spans="2:8" x14ac:dyDescent="0.25">
      <c r="B3" s="37" t="s">
        <v>83</v>
      </c>
      <c r="C3" s="37"/>
      <c r="D3" s="37"/>
      <c r="F3" s="37" t="s">
        <v>82</v>
      </c>
      <c r="G3" s="37"/>
      <c r="H3" s="37"/>
    </row>
    <row r="4" spans="2:8" x14ac:dyDescent="0.25">
      <c r="B4" t="s">
        <v>5</v>
      </c>
      <c r="C4" s="13">
        <v>220</v>
      </c>
      <c r="D4" t="s">
        <v>6</v>
      </c>
      <c r="F4" t="s">
        <v>7</v>
      </c>
      <c r="G4" s="13">
        <v>10</v>
      </c>
      <c r="H4" t="s">
        <v>8</v>
      </c>
    </row>
    <row r="5" spans="2:8" x14ac:dyDescent="0.25">
      <c r="B5" t="s">
        <v>52</v>
      </c>
      <c r="C5" s="9">
        <f>('System Configuration'!C7*C4)/'System Configuration'!C4</f>
        <v>33392340.594059408</v>
      </c>
      <c r="D5" t="s">
        <v>13</v>
      </c>
      <c r="F5" t="s">
        <v>53</v>
      </c>
      <c r="G5" s="9">
        <f>('System Configuration'!C7*G4)/'System Configuration'!C3</f>
        <v>24285063.818231191</v>
      </c>
      <c r="H5" t="s">
        <v>13</v>
      </c>
    </row>
    <row r="6" spans="2:8" x14ac:dyDescent="0.25">
      <c r="B6" t="s">
        <v>54</v>
      </c>
      <c r="C6" s="10" t="s">
        <v>98</v>
      </c>
      <c r="D6" t="s">
        <v>11</v>
      </c>
      <c r="F6" t="s">
        <v>55</v>
      </c>
      <c r="G6" s="6" t="s">
        <v>96</v>
      </c>
      <c r="H6" t="s">
        <v>11</v>
      </c>
    </row>
    <row r="7" spans="2:8" x14ac:dyDescent="0.25">
      <c r="B7" t="s">
        <v>54</v>
      </c>
      <c r="C7" s="11">
        <f>HEX2DEC(C6)</f>
        <v>33512088</v>
      </c>
      <c r="D7" s="1" t="s">
        <v>13</v>
      </c>
      <c r="E7" s="1"/>
      <c r="F7" t="s">
        <v>55</v>
      </c>
      <c r="G7" s="11">
        <f>HEX2DEC(G6)</f>
        <v>24179006</v>
      </c>
      <c r="H7" s="1" t="s">
        <v>13</v>
      </c>
    </row>
    <row r="8" spans="2:8" x14ac:dyDescent="0.25">
      <c r="B8" t="s">
        <v>56</v>
      </c>
      <c r="C8" s="9">
        <f>((C5/C7)-1)*2^27</f>
        <v>-479594.84826011956</v>
      </c>
      <c r="D8" t="s">
        <v>13</v>
      </c>
      <c r="F8" t="s">
        <v>57</v>
      </c>
      <c r="G8" s="9">
        <f>((G5/G7)-1)*2^27</f>
        <v>588727.23715886474</v>
      </c>
      <c r="H8" t="s">
        <v>13</v>
      </c>
    </row>
    <row r="9" spans="2:8" x14ac:dyDescent="0.25">
      <c r="B9" t="s">
        <v>56</v>
      </c>
      <c r="C9" s="30" t="str">
        <f>DEC2HEX(C8)</f>
        <v>FFFFF8AE96</v>
      </c>
      <c r="D9" t="s">
        <v>11</v>
      </c>
      <c r="F9" t="s">
        <v>57</v>
      </c>
      <c r="G9" s="12" t="str">
        <f>DEC2HEX(G8)</f>
        <v>8FBB7</v>
      </c>
      <c r="H9" t="s">
        <v>11</v>
      </c>
    </row>
    <row r="11" spans="2:8" x14ac:dyDescent="0.25">
      <c r="B11" s="37" t="s">
        <v>58</v>
      </c>
      <c r="C11" s="37"/>
      <c r="D11" s="37"/>
      <c r="E11" s="37"/>
      <c r="F11" s="37"/>
      <c r="G11" s="37"/>
      <c r="H11" s="37"/>
    </row>
    <row r="12" spans="2:8" x14ac:dyDescent="0.25">
      <c r="B12" s="37" t="s">
        <v>85</v>
      </c>
      <c r="C12" s="37"/>
      <c r="D12" s="37"/>
      <c r="E12" s="19"/>
      <c r="F12" s="37" t="s">
        <v>84</v>
      </c>
      <c r="G12" s="37"/>
      <c r="H12" s="37"/>
    </row>
    <row r="13" spans="2:8" x14ac:dyDescent="0.25">
      <c r="B13" t="s">
        <v>5</v>
      </c>
      <c r="C13" s="13">
        <v>1</v>
      </c>
      <c r="D13" t="s">
        <v>6</v>
      </c>
      <c r="F13" t="s">
        <v>7</v>
      </c>
      <c r="G13" s="13">
        <v>0.02</v>
      </c>
      <c r="H13" t="s">
        <v>8</v>
      </c>
    </row>
    <row r="14" spans="2:8" x14ac:dyDescent="0.25">
      <c r="B14" t="s">
        <v>52</v>
      </c>
      <c r="C14" s="9">
        <f>('System Configuration'!C7*C13)/'System Configuration'!C4</f>
        <v>151783.36633663366</v>
      </c>
      <c r="D14" t="s">
        <v>13</v>
      </c>
      <c r="F14" t="s">
        <v>53</v>
      </c>
      <c r="G14" s="9">
        <f>('System Configuration'!C7*G13)/'System Configuration'!C3</f>
        <v>48570.127636462385</v>
      </c>
      <c r="H14" t="s">
        <v>13</v>
      </c>
    </row>
    <row r="15" spans="2:8" x14ac:dyDescent="0.25">
      <c r="B15" t="s">
        <v>54</v>
      </c>
      <c r="C15" s="8">
        <v>25498</v>
      </c>
      <c r="D15" t="s">
        <v>11</v>
      </c>
      <c r="F15" t="s">
        <v>55</v>
      </c>
      <c r="G15" s="8" t="s">
        <v>99</v>
      </c>
      <c r="H15" t="s">
        <v>11</v>
      </c>
    </row>
    <row r="16" spans="2:8" x14ac:dyDescent="0.25">
      <c r="B16" t="s">
        <v>54</v>
      </c>
      <c r="C16" s="11">
        <f>HEX2DEC(C15)</f>
        <v>152728</v>
      </c>
      <c r="D16" t="s">
        <v>13</v>
      </c>
      <c r="F16" t="s">
        <v>55</v>
      </c>
      <c r="G16" s="11">
        <f>HEX2DEC(G15)</f>
        <v>48733</v>
      </c>
      <c r="H16" t="s">
        <v>13</v>
      </c>
    </row>
    <row r="17" spans="2:8" x14ac:dyDescent="0.25">
      <c r="B17" t="s">
        <v>59</v>
      </c>
      <c r="C17" s="9">
        <f>((C14^2)-(C16^2))/(2^15)</f>
        <v>-8778.4328466572333</v>
      </c>
      <c r="D17" t="s">
        <v>13</v>
      </c>
      <c r="F17" t="s">
        <v>60</v>
      </c>
      <c r="G17" s="9">
        <f>((G14^2)-(G16^2))/(2^15)</f>
        <v>-483.64228447731875</v>
      </c>
    </row>
    <row r="18" spans="2:8" x14ac:dyDescent="0.25">
      <c r="B18" t="s">
        <v>59</v>
      </c>
      <c r="C18" s="4" t="str">
        <f>DEC2HEX(C17)</f>
        <v>FFFFFFDDB6</v>
      </c>
      <c r="D18" t="s">
        <v>11</v>
      </c>
      <c r="F18" t="s">
        <v>60</v>
      </c>
      <c r="G18" s="4" t="str">
        <f>DEC2HEX(G17)</f>
        <v>FFFFFFFE1D</v>
      </c>
      <c r="H18" t="s">
        <v>13</v>
      </c>
    </row>
    <row r="19" spans="2:8" x14ac:dyDescent="0.25">
      <c r="H19" t="s">
        <v>11</v>
      </c>
    </row>
    <row r="20" spans="2:8" x14ac:dyDescent="0.25">
      <c r="B20" s="37" t="s">
        <v>80</v>
      </c>
      <c r="C20" s="37"/>
      <c r="D20" s="37"/>
      <c r="E20" s="20"/>
      <c r="F20" s="37" t="s">
        <v>81</v>
      </c>
      <c r="G20" s="37"/>
      <c r="H20" s="37"/>
    </row>
    <row r="21" spans="2:8" x14ac:dyDescent="0.25">
      <c r="B21" t="s">
        <v>5</v>
      </c>
      <c r="C21" s="13">
        <v>220</v>
      </c>
      <c r="D21" t="s">
        <v>6</v>
      </c>
      <c r="F21" t="s">
        <v>5</v>
      </c>
      <c r="G21" s="13">
        <v>220</v>
      </c>
      <c r="H21" t="s">
        <v>6</v>
      </c>
    </row>
    <row r="22" spans="2:8" x14ac:dyDescent="0.25">
      <c r="B22" t="s">
        <v>7</v>
      </c>
      <c r="C22" s="13">
        <v>10</v>
      </c>
      <c r="D22" t="s">
        <v>8</v>
      </c>
      <c r="F22" t="s">
        <v>7</v>
      </c>
      <c r="G22" s="13">
        <v>0.02</v>
      </c>
      <c r="H22" t="s">
        <v>8</v>
      </c>
    </row>
    <row r="23" spans="2:8" x14ac:dyDescent="0.25">
      <c r="B23" t="s">
        <v>61</v>
      </c>
      <c r="C23" s="15">
        <f>C22/'System Configuration'!C3</f>
        <v>0.22630578437584864</v>
      </c>
      <c r="D23" t="s">
        <v>62</v>
      </c>
      <c r="F23" t="s">
        <v>61</v>
      </c>
      <c r="G23" s="15">
        <f>G22/'System Configuration'!C3</f>
        <v>4.5261156875169728E-4</v>
      </c>
      <c r="H23" t="s">
        <v>62</v>
      </c>
    </row>
    <row r="24" spans="2:8" x14ac:dyDescent="0.25">
      <c r="B24" t="s">
        <v>63</v>
      </c>
      <c r="C24" s="15">
        <f>C21/'System Configuration'!C4</f>
        <v>0.31117397454031115</v>
      </c>
      <c r="D24" t="s">
        <v>62</v>
      </c>
      <c r="F24" t="s">
        <v>63</v>
      </c>
      <c r="G24" s="15">
        <f>G21/'System Configuration'!C4</f>
        <v>0.31117397454031115</v>
      </c>
      <c r="H24" t="s">
        <v>62</v>
      </c>
    </row>
    <row r="25" spans="2:8" x14ac:dyDescent="0.25">
      <c r="B25" t="s">
        <v>64</v>
      </c>
      <c r="C25" s="9">
        <v>1</v>
      </c>
      <c r="D25" t="s">
        <v>42</v>
      </c>
      <c r="F25" t="s">
        <v>64</v>
      </c>
      <c r="G25" s="9">
        <v>10</v>
      </c>
      <c r="H25" t="s">
        <v>42</v>
      </c>
    </row>
    <row r="26" spans="2:8" x14ac:dyDescent="0.25">
      <c r="B26" t="s">
        <v>91</v>
      </c>
      <c r="C26" s="9">
        <f>C23*C24*'System Configuration'!C8*C25*4000*(2^-13)</f>
        <v>2951231.1374768903</v>
      </c>
      <c r="D26" t="s">
        <v>13</v>
      </c>
      <c r="F26" t="s">
        <v>91</v>
      </c>
      <c r="G26" s="9">
        <f>G23*G24*'System Configuration'!C8*G25*4000*(2^-13)</f>
        <v>59024.622749537804</v>
      </c>
      <c r="H26" t="s">
        <v>13</v>
      </c>
    </row>
    <row r="27" spans="2:8" x14ac:dyDescent="0.25">
      <c r="B27" t="s">
        <v>92</v>
      </c>
      <c r="C27" s="8" t="s">
        <v>100</v>
      </c>
      <c r="D27" t="s">
        <v>11</v>
      </c>
      <c r="F27" t="s">
        <v>92</v>
      </c>
      <c r="G27" s="8" t="s">
        <v>101</v>
      </c>
      <c r="H27" t="s">
        <v>11</v>
      </c>
    </row>
    <row r="28" spans="2:8" x14ac:dyDescent="0.25">
      <c r="B28" t="s">
        <v>93</v>
      </c>
      <c r="C28" s="9">
        <f>HEX2DEC(C27)</f>
        <v>2846714</v>
      </c>
      <c r="D28" t="s">
        <v>13</v>
      </c>
      <c r="F28" t="s">
        <v>93</v>
      </c>
      <c r="G28" s="9">
        <f>HEX2DEC(G27)</f>
        <v>58134</v>
      </c>
      <c r="H28" t="s">
        <v>13</v>
      </c>
    </row>
    <row r="29" spans="2:8" x14ac:dyDescent="0.25">
      <c r="B29" t="s">
        <v>65</v>
      </c>
      <c r="C29" s="9">
        <f>((C26/C28)-1)*2^27</f>
        <v>4927805.4378528595</v>
      </c>
      <c r="D29" t="s">
        <v>13</v>
      </c>
      <c r="F29" t="s">
        <v>66</v>
      </c>
      <c r="G29" s="9">
        <f>(G26-G28)/(G25*4000*(2^-13))</f>
        <v>182.39953910534234</v>
      </c>
      <c r="H29" t="s">
        <v>13</v>
      </c>
    </row>
    <row r="30" spans="2:8" x14ac:dyDescent="0.25">
      <c r="B30" t="s">
        <v>65</v>
      </c>
      <c r="C30" s="12" t="str">
        <f>DEC2HEX(C29)</f>
        <v>4B313D</v>
      </c>
      <c r="D30" t="s">
        <v>11</v>
      </c>
      <c r="F30" t="s">
        <v>66</v>
      </c>
      <c r="G30" s="12" t="str">
        <f>DEC2HEX(G29)</f>
        <v>B6</v>
      </c>
      <c r="H30" t="s">
        <v>11</v>
      </c>
    </row>
    <row r="32" spans="2:8" x14ac:dyDescent="0.25">
      <c r="B32" s="37" t="s">
        <v>67</v>
      </c>
      <c r="C32" s="37"/>
      <c r="D32" s="37"/>
      <c r="E32" s="20"/>
      <c r="F32" s="20"/>
      <c r="G32" s="20"/>
      <c r="H32" s="20"/>
    </row>
    <row r="33" spans="2:8" x14ac:dyDescent="0.25">
      <c r="B33" t="s">
        <v>37</v>
      </c>
      <c r="C33" s="7" t="s">
        <v>97</v>
      </c>
      <c r="D33" t="s">
        <v>11</v>
      </c>
      <c r="H33" s="19"/>
    </row>
    <row r="34" spans="2:8" x14ac:dyDescent="0.25">
      <c r="B34" t="s">
        <v>37</v>
      </c>
      <c r="C34" s="9">
        <f>HEX2DEC(C33)</f>
        <v>67144872</v>
      </c>
      <c r="D34" t="s">
        <v>13</v>
      </c>
      <c r="G34" s="17"/>
    </row>
    <row r="35" spans="2:8" x14ac:dyDescent="0.25">
      <c r="B35" t="s">
        <v>68</v>
      </c>
      <c r="C35" s="8">
        <v>50</v>
      </c>
      <c r="D35" t="s">
        <v>43</v>
      </c>
      <c r="G35" s="17"/>
    </row>
    <row r="36" spans="2:8" x14ac:dyDescent="0.25">
      <c r="B36" t="s">
        <v>69</v>
      </c>
      <c r="C36" s="15">
        <f>((PI()/3)-ACOS(C34/2^27))*-1</f>
        <v>-3.0981135775332014E-4</v>
      </c>
      <c r="D36" t="s">
        <v>49</v>
      </c>
      <c r="G36" s="18"/>
    </row>
    <row r="37" spans="2:8" x14ac:dyDescent="0.25">
      <c r="B37" t="s">
        <v>70</v>
      </c>
      <c r="C37" s="15">
        <f>(2*PI()*C35)/4000</f>
        <v>7.8539816339744828E-2</v>
      </c>
      <c r="G37" s="18"/>
    </row>
    <row r="38" spans="2:8" x14ac:dyDescent="0.25">
      <c r="B38" t="s">
        <v>71</v>
      </c>
      <c r="C38" s="9">
        <f>((SIN(C36-C37)+SIN(C37))/(SIN((2*C37)-C36)))*(2^27)</f>
        <v>-264472.15964671108</v>
      </c>
      <c r="D38" t="s">
        <v>13</v>
      </c>
      <c r="G38" s="18"/>
    </row>
    <row r="39" spans="2:8" x14ac:dyDescent="0.25">
      <c r="B39" t="s">
        <v>71</v>
      </c>
      <c r="C39" s="12" t="str">
        <f>DEC2HEX(C38)</f>
        <v>FFFFFBF6E8</v>
      </c>
      <c r="D39" t="s">
        <v>11</v>
      </c>
      <c r="G39" s="18"/>
    </row>
  </sheetData>
  <mergeCells count="9">
    <mergeCell ref="B2:H2"/>
    <mergeCell ref="B11:H11"/>
    <mergeCell ref="B20:D20"/>
    <mergeCell ref="F20:H20"/>
    <mergeCell ref="B32:D32"/>
    <mergeCell ref="B3:D3"/>
    <mergeCell ref="F3:H3"/>
    <mergeCell ref="B12:D12"/>
    <mergeCell ref="F12:H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C0C5-567C-4719-88FC-0CF964262B1C}">
  <dimension ref="B2:H43"/>
  <sheetViews>
    <sheetView zoomScale="160" zoomScaleNormal="160" workbookViewId="0">
      <selection activeCell="H32" sqref="H32"/>
    </sheetView>
  </sheetViews>
  <sheetFormatPr defaultRowHeight="15" x14ac:dyDescent="0.25"/>
  <cols>
    <col min="2" max="2" width="23.140625" bestFit="1" customWidth="1"/>
    <col min="3" max="3" width="13.5703125" customWidth="1"/>
    <col min="4" max="4" width="14" bestFit="1" customWidth="1"/>
    <col min="6" max="6" width="20" bestFit="1" customWidth="1"/>
    <col min="7" max="7" width="17.28515625" bestFit="1" customWidth="1"/>
    <col min="8" max="8" width="14" bestFit="1" customWidth="1"/>
    <col min="10" max="10" width="23.7109375" customWidth="1"/>
    <col min="11" max="11" width="12" bestFit="1" customWidth="1"/>
    <col min="13" max="13" width="11.5703125" bestFit="1" customWidth="1"/>
    <col min="15" max="15" width="11.5703125" bestFit="1" customWidth="1"/>
  </cols>
  <sheetData>
    <row r="2" spans="2:8" x14ac:dyDescent="0.25">
      <c r="B2" s="37" t="s">
        <v>0</v>
      </c>
      <c r="C2" s="37"/>
      <c r="D2" s="37"/>
      <c r="E2" s="37"/>
      <c r="F2" s="37"/>
      <c r="G2" s="37"/>
      <c r="H2" s="37"/>
    </row>
    <row r="3" spans="2:8" x14ac:dyDescent="0.25">
      <c r="B3" s="37" t="s">
        <v>1</v>
      </c>
      <c r="C3" s="37"/>
      <c r="D3" t="s">
        <v>2</v>
      </c>
      <c r="F3" s="37" t="s">
        <v>3</v>
      </c>
      <c r="G3" s="37"/>
      <c r="H3" t="s">
        <v>2</v>
      </c>
    </row>
    <row r="4" spans="2:8" x14ac:dyDescent="0.25">
      <c r="B4" t="s">
        <v>5</v>
      </c>
      <c r="C4" s="7">
        <v>10</v>
      </c>
      <c r="D4" t="s">
        <v>6</v>
      </c>
      <c r="F4" t="s">
        <v>7</v>
      </c>
      <c r="G4" s="7">
        <v>0.1</v>
      </c>
      <c r="H4" t="s">
        <v>8</v>
      </c>
    </row>
    <row r="5" spans="2:8" x14ac:dyDescent="0.25">
      <c r="B5" t="s">
        <v>10</v>
      </c>
      <c r="C5" s="8" t="s">
        <v>122</v>
      </c>
      <c r="D5" t="s">
        <v>11</v>
      </c>
      <c r="F5" t="s">
        <v>10</v>
      </c>
      <c r="G5" s="8" t="s">
        <v>123</v>
      </c>
      <c r="H5" t="s">
        <v>11</v>
      </c>
    </row>
    <row r="6" spans="2:8" x14ac:dyDescent="0.25">
      <c r="B6" t="s">
        <v>10</v>
      </c>
      <c r="C6" s="2">
        <f>HEX2DEC(C5)</f>
        <v>1522551</v>
      </c>
      <c r="D6" s="1" t="s">
        <v>13</v>
      </c>
      <c r="F6" t="s">
        <v>10</v>
      </c>
      <c r="G6" s="32">
        <f>HEX2DEC(G5)</f>
        <v>242688</v>
      </c>
      <c r="H6" s="1" t="s">
        <v>13</v>
      </c>
    </row>
    <row r="7" spans="2:8" x14ac:dyDescent="0.25">
      <c r="B7" t="s">
        <v>15</v>
      </c>
      <c r="C7" s="22">
        <f>('System Configuration'!C4/'System Configuration'!C7)*C6</f>
        <v>10.031079404466501</v>
      </c>
      <c r="D7" t="s">
        <v>6</v>
      </c>
      <c r="E7" s="1"/>
      <c r="F7" t="s">
        <v>16</v>
      </c>
      <c r="G7" s="23">
        <f>('System Configuration'!C3/'System Configuration'!C7)*G6</f>
        <v>9.9933029542961363E-2</v>
      </c>
      <c r="H7" t="s">
        <v>8</v>
      </c>
    </row>
    <row r="8" spans="2:8" x14ac:dyDescent="0.25">
      <c r="B8" t="s">
        <v>18</v>
      </c>
      <c r="C8">
        <f>((C7-C4)/C4)*100</f>
        <v>0.31079404466501259</v>
      </c>
      <c r="D8" t="s">
        <v>19</v>
      </c>
      <c r="F8" t="s">
        <v>18</v>
      </c>
      <c r="G8">
        <f>((G7-G4)/G4)*100</f>
        <v>-6.6970457038642572E-2</v>
      </c>
      <c r="H8" t="s">
        <v>19</v>
      </c>
    </row>
    <row r="9" spans="2:8" x14ac:dyDescent="0.25">
      <c r="C9" s="3"/>
      <c r="G9" s="3"/>
    </row>
    <row r="10" spans="2:8" x14ac:dyDescent="0.25">
      <c r="B10" s="37" t="s">
        <v>21</v>
      </c>
      <c r="C10" s="37"/>
      <c r="D10" s="37"/>
      <c r="E10" s="37"/>
      <c r="F10" s="37"/>
      <c r="G10" s="37"/>
      <c r="H10" s="37"/>
    </row>
    <row r="11" spans="2:8" x14ac:dyDescent="0.25">
      <c r="B11" t="s">
        <v>5</v>
      </c>
      <c r="C11" s="7">
        <v>220</v>
      </c>
      <c r="D11" t="s">
        <v>6</v>
      </c>
      <c r="F11" t="s">
        <v>5</v>
      </c>
      <c r="G11" s="7">
        <v>220</v>
      </c>
      <c r="H11" t="s">
        <v>6</v>
      </c>
    </row>
    <row r="12" spans="2:8" x14ac:dyDescent="0.25">
      <c r="B12" t="s">
        <v>7</v>
      </c>
      <c r="C12" s="7">
        <v>10</v>
      </c>
      <c r="D12" t="s">
        <v>8</v>
      </c>
      <c r="F12" t="s">
        <v>7</v>
      </c>
      <c r="G12" s="7">
        <v>10</v>
      </c>
      <c r="H12" t="s">
        <v>8</v>
      </c>
    </row>
    <row r="13" spans="2:8" x14ac:dyDescent="0.25">
      <c r="B13" t="s">
        <v>22</v>
      </c>
      <c r="C13" s="7">
        <v>1</v>
      </c>
    </row>
    <row r="14" spans="2:8" x14ac:dyDescent="0.25">
      <c r="B14" t="s">
        <v>23</v>
      </c>
      <c r="C14" s="16" t="s">
        <v>102</v>
      </c>
      <c r="D14" t="s">
        <v>11</v>
      </c>
      <c r="F14" t="s">
        <v>24</v>
      </c>
      <c r="G14" s="16" t="s">
        <v>86</v>
      </c>
      <c r="H14" t="s">
        <v>11</v>
      </c>
    </row>
    <row r="15" spans="2:8" x14ac:dyDescent="0.25">
      <c r="B15" t="s">
        <v>23</v>
      </c>
      <c r="C15">
        <f>IF(LEFT(HEX2BIN(LEFT(DEC2HEX(HEX2DEC(C14),8)),4)) = "0", HEX2DEC(C14),HEX2DEC(C14)-2^32)</f>
        <v>6044931</v>
      </c>
      <c r="D15" t="s">
        <v>13</v>
      </c>
      <c r="F15" t="s">
        <v>24</v>
      </c>
      <c r="G15">
        <f>HEX2DEC(G14)</f>
        <v>6038115</v>
      </c>
      <c r="H15" t="s">
        <v>13</v>
      </c>
    </row>
    <row r="16" spans="2:8" x14ac:dyDescent="0.25">
      <c r="B16" t="s">
        <v>25</v>
      </c>
      <c r="C16" s="14">
        <f>(('System Configuration'!C3*'System Configuration'!C4)/'System Configuration'!C8)*C15</f>
        <v>2200.294697421712</v>
      </c>
      <c r="D16" t="s">
        <v>26</v>
      </c>
      <c r="F16" t="s">
        <v>27</v>
      </c>
      <c r="G16" s="5">
        <f>(('System Configuration'!C3*'System Configuration'!C4)/'System Configuration'!C8)*G15</f>
        <v>2197.8137412854671</v>
      </c>
      <c r="H16" t="s">
        <v>28</v>
      </c>
    </row>
    <row r="17" spans="2:8" x14ac:dyDescent="0.25">
      <c r="B17" t="s">
        <v>29</v>
      </c>
      <c r="C17">
        <f>((C16-(C11*C12*C13))/(C11*C12*C13))*100</f>
        <v>1.3395337350547463E-2</v>
      </c>
      <c r="D17" t="s">
        <v>19</v>
      </c>
      <c r="F17" t="s">
        <v>29</v>
      </c>
      <c r="G17">
        <f>((G16-(G11*G12))/(G11*G12))*100</f>
        <v>-9.9375396115130396E-2</v>
      </c>
      <c r="H17" t="s">
        <v>19</v>
      </c>
    </row>
    <row r="19" spans="2:8" x14ac:dyDescent="0.25">
      <c r="B19" s="37" t="s">
        <v>30</v>
      </c>
      <c r="C19" s="37"/>
      <c r="D19" s="37"/>
      <c r="E19" s="37"/>
      <c r="F19" s="37"/>
      <c r="G19" s="37"/>
      <c r="H19" s="37"/>
    </row>
    <row r="20" spans="2:8" x14ac:dyDescent="0.25">
      <c r="B20" t="s">
        <v>31</v>
      </c>
      <c r="C20" s="7" t="s">
        <v>148</v>
      </c>
      <c r="D20" t="s">
        <v>11</v>
      </c>
      <c r="F20" t="s">
        <v>32</v>
      </c>
      <c r="G20" s="7" t="s">
        <v>88</v>
      </c>
      <c r="H20" t="s">
        <v>11</v>
      </c>
    </row>
    <row r="21" spans="2:8" x14ac:dyDescent="0.25">
      <c r="B21" t="s">
        <v>33</v>
      </c>
      <c r="C21" s="7" t="s">
        <v>149</v>
      </c>
      <c r="D21" t="s">
        <v>11</v>
      </c>
      <c r="F21" t="s">
        <v>34</v>
      </c>
      <c r="G21" s="7" t="s">
        <v>89</v>
      </c>
      <c r="H21" t="s">
        <v>11</v>
      </c>
    </row>
    <row r="22" spans="2:8" x14ac:dyDescent="0.25">
      <c r="B22" t="s">
        <v>31</v>
      </c>
      <c r="C22">
        <f>IF(LEFT(HEX2BIN(LEFT(DEC2HEX(HEX2DEC(C20),8)),4)) = "0", HEX2DEC(C20),HEX2DEC(C20)-2^32)</f>
        <v>2950618</v>
      </c>
      <c r="D22" t="s">
        <v>13</v>
      </c>
      <c r="F22" t="s">
        <v>32</v>
      </c>
      <c r="G22">
        <f>IF(LEFT(HEX2BIN(LEFT(DEC2HEX(HEX2DEC(G20),8)),4)) = "0", HEX2DEC(G20),HEX2DEC(G20)-2^32)</f>
        <v>2950549</v>
      </c>
      <c r="H22" t="s">
        <v>13</v>
      </c>
    </row>
    <row r="23" spans="2:8" x14ac:dyDescent="0.25">
      <c r="B23" t="s">
        <v>33</v>
      </c>
      <c r="C23">
        <f>IF(LEFT(HEX2BIN(LEFT(DEC2HEX(HEX2DEC(C20),8)),4)) = "0", HEX2DEC(C21),HEX2DEC(C21))</f>
        <v>7367</v>
      </c>
      <c r="D23" t="s">
        <v>13</v>
      </c>
      <c r="F23" t="s">
        <v>34</v>
      </c>
      <c r="G23">
        <f>IF(LEFT(HEX2BIN(LEFT(DEC2HEX(HEX2DEC(G20),8)),4)) = "0", HEX2DEC(G21),HEX2DEC(G21)*-1)</f>
        <v>7354</v>
      </c>
      <c r="H23" t="s">
        <v>13</v>
      </c>
    </row>
    <row r="24" spans="2:8" x14ac:dyDescent="0.25">
      <c r="B24" t="s">
        <v>35</v>
      </c>
      <c r="C24">
        <f>((('System Configuration'!C3*'System Configuration'!C4)/'System Configuration'!C8)*((C22*(2^13)+C23)/4000))</f>
        <v>2199.5436060599682</v>
      </c>
      <c r="D24" t="s">
        <v>90</v>
      </c>
      <c r="F24" t="s">
        <v>35</v>
      </c>
      <c r="G24">
        <f>((('System Configuration'!C3*'System Configuration'!C4)/'System Configuration'!C8)*((G22*(2^13)+G23)/4000))</f>
        <v>2199.4921687159786</v>
      </c>
      <c r="H24" t="s">
        <v>90</v>
      </c>
    </row>
    <row r="26" spans="2:8" x14ac:dyDescent="0.25">
      <c r="B26" s="37" t="s">
        <v>36</v>
      </c>
      <c r="C26" s="37"/>
      <c r="D26" s="37"/>
      <c r="E26" s="37"/>
      <c r="F26" s="37"/>
      <c r="G26" s="37"/>
      <c r="H26" s="37"/>
    </row>
    <row r="27" spans="2:8" x14ac:dyDescent="0.25">
      <c r="B27" t="s">
        <v>37</v>
      </c>
      <c r="C27" s="16" t="s">
        <v>103</v>
      </c>
      <c r="D27" t="s">
        <v>11</v>
      </c>
      <c r="E27" s="21"/>
    </row>
    <row r="28" spans="2:8" x14ac:dyDescent="0.25">
      <c r="B28" t="s">
        <v>37</v>
      </c>
      <c r="C28">
        <f>IF(LEFT(HEX2BIN(LEFT(DEC2HEX(HEX2DEC(C27),8)),4)) = "0", HEX2DEC(C27),HEX2DEC(C27)-2^32)</f>
        <v>67114928</v>
      </c>
      <c r="D28" t="s">
        <v>13</v>
      </c>
    </row>
    <row r="29" spans="2:8" x14ac:dyDescent="0.25">
      <c r="B29" t="s">
        <v>38</v>
      </c>
      <c r="C29">
        <f>C28*(2^-27)</f>
        <v>0.50004518032073975</v>
      </c>
    </row>
    <row r="31" spans="2:8" x14ac:dyDescent="0.25">
      <c r="B31" s="37" t="s">
        <v>39</v>
      </c>
      <c r="C31" s="37"/>
      <c r="D31" s="37"/>
      <c r="E31" s="37"/>
      <c r="F31" s="37"/>
      <c r="G31" s="37"/>
      <c r="H31" s="37"/>
    </row>
    <row r="32" spans="2:8" x14ac:dyDescent="0.25">
      <c r="B32" t="s">
        <v>40</v>
      </c>
      <c r="C32" s="16" t="s">
        <v>124</v>
      </c>
      <c r="D32" t="s">
        <v>11</v>
      </c>
    </row>
    <row r="33" spans="2:8" x14ac:dyDescent="0.25">
      <c r="B33" t="s">
        <v>40</v>
      </c>
      <c r="C33">
        <f>HEX2DEC(C32)</f>
        <v>5242710</v>
      </c>
      <c r="D33" t="s">
        <v>13</v>
      </c>
    </row>
    <row r="34" spans="2:8" x14ac:dyDescent="0.25">
      <c r="B34" t="s">
        <v>41</v>
      </c>
      <c r="C34">
        <f>(C33+1)/((4000)*(2^16))</f>
        <v>1.999935531616211E-2</v>
      </c>
      <c r="D34" t="s">
        <v>42</v>
      </c>
    </row>
    <row r="35" spans="2:8" x14ac:dyDescent="0.25">
      <c r="B35" t="s">
        <v>41</v>
      </c>
      <c r="C35">
        <f>1/C34</f>
        <v>50.001611761548553</v>
      </c>
      <c r="D35" t="s">
        <v>43</v>
      </c>
    </row>
    <row r="37" spans="2:8" x14ac:dyDescent="0.25">
      <c r="B37" s="37" t="s">
        <v>44</v>
      </c>
      <c r="C37" s="37"/>
      <c r="D37" s="37"/>
      <c r="E37" s="37"/>
      <c r="F37" s="37"/>
      <c r="G37" s="37"/>
      <c r="H37" s="37"/>
    </row>
    <row r="38" spans="2:8" x14ac:dyDescent="0.25">
      <c r="B38" t="s">
        <v>45</v>
      </c>
      <c r="C38" s="7">
        <v>3554</v>
      </c>
      <c r="D38" t="s">
        <v>46</v>
      </c>
      <c r="F38" t="s">
        <v>45</v>
      </c>
      <c r="G38" s="7" t="s">
        <v>87</v>
      </c>
      <c r="H38" t="s">
        <v>46</v>
      </c>
    </row>
    <row r="39" spans="2:8" x14ac:dyDescent="0.25">
      <c r="B39" t="s">
        <v>40</v>
      </c>
      <c r="C39" s="7" t="s">
        <v>121</v>
      </c>
      <c r="D39" t="s">
        <v>11</v>
      </c>
      <c r="F39" t="s">
        <v>47</v>
      </c>
      <c r="G39" s="7">
        <v>50</v>
      </c>
      <c r="H39" t="s">
        <v>43</v>
      </c>
    </row>
    <row r="40" spans="2:8" x14ac:dyDescent="0.25">
      <c r="B40" t="s">
        <v>45</v>
      </c>
      <c r="C40">
        <f>HEX2DEC(C38)</f>
        <v>13652</v>
      </c>
      <c r="D40" t="s">
        <v>13</v>
      </c>
      <c r="F40" t="s">
        <v>45</v>
      </c>
      <c r="G40">
        <f>HEX2DEC(G38)</f>
        <v>6826</v>
      </c>
      <c r="H40" t="s">
        <v>13</v>
      </c>
    </row>
    <row r="41" spans="2:8" x14ac:dyDescent="0.25">
      <c r="B41" t="s">
        <v>40</v>
      </c>
      <c r="C41">
        <f>HEX2DEC(C39)</f>
        <v>5242908</v>
      </c>
      <c r="D41" t="s">
        <v>13</v>
      </c>
    </row>
    <row r="42" spans="2:8" x14ac:dyDescent="0.25">
      <c r="B42" t="s">
        <v>48</v>
      </c>
      <c r="C42">
        <f>(2*PI()*(C40*256)/(C41+1))-(2*PI())</f>
        <v>-2.0948273310473242</v>
      </c>
      <c r="D42" t="s">
        <v>49</v>
      </c>
      <c r="F42" t="s">
        <v>48</v>
      </c>
      <c r="G42">
        <f>(2*PI()*(G40*G39)/((4000)*(2^8)))-(2*PI())</f>
        <v>-4.1889947355581088</v>
      </c>
      <c r="H42" t="s">
        <v>49</v>
      </c>
    </row>
    <row r="43" spans="2:8" x14ac:dyDescent="0.25">
      <c r="B43" t="s">
        <v>48</v>
      </c>
      <c r="C43">
        <f>DEGREES(C42)</f>
        <v>-120.0247648776662</v>
      </c>
      <c r="D43" t="s">
        <v>50</v>
      </c>
      <c r="F43" t="s">
        <v>48</v>
      </c>
      <c r="G43">
        <f>DEGREES(G42)</f>
        <v>-240.01171875</v>
      </c>
      <c r="H43" t="s">
        <v>50</v>
      </c>
    </row>
  </sheetData>
  <mergeCells count="8">
    <mergeCell ref="B2:H2"/>
    <mergeCell ref="B10:H10"/>
    <mergeCell ref="B37:H37"/>
    <mergeCell ref="B19:H19"/>
    <mergeCell ref="B26:H26"/>
    <mergeCell ref="B31:H31"/>
    <mergeCell ref="B3:C3"/>
    <mergeCell ref="F3:G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1FCF1-7053-47A8-A7CC-01FC67921D79}">
  <dimension ref="B2:H20"/>
  <sheetViews>
    <sheetView workbookViewId="0">
      <selection activeCell="M13" sqref="M13"/>
    </sheetView>
  </sheetViews>
  <sheetFormatPr defaultRowHeight="15" x14ac:dyDescent="0.25"/>
  <cols>
    <col min="2" max="2" width="29.28515625" customWidth="1"/>
    <col min="3" max="3" width="15" customWidth="1"/>
    <col min="6" max="6" width="28.42578125" customWidth="1"/>
    <col min="7" max="7" width="15.28515625" customWidth="1"/>
  </cols>
  <sheetData>
    <row r="2" spans="2:8" x14ac:dyDescent="0.25">
      <c r="B2" s="37" t="s">
        <v>133</v>
      </c>
      <c r="C2" s="37"/>
      <c r="D2" s="37"/>
      <c r="E2" s="37"/>
      <c r="F2" s="37"/>
      <c r="G2" s="37"/>
      <c r="H2" s="37"/>
    </row>
    <row r="3" spans="2:8" x14ac:dyDescent="0.25">
      <c r="B3" s="37" t="s">
        <v>139</v>
      </c>
      <c r="C3" s="37"/>
      <c r="D3" t="s">
        <v>2</v>
      </c>
      <c r="F3" s="37" t="s">
        <v>140</v>
      </c>
      <c r="G3" s="37"/>
      <c r="H3" t="s">
        <v>2</v>
      </c>
    </row>
    <row r="4" spans="2:8" x14ac:dyDescent="0.25">
      <c r="B4" t="s">
        <v>125</v>
      </c>
      <c r="C4" s="35">
        <v>200</v>
      </c>
      <c r="D4" s="34" t="s">
        <v>127</v>
      </c>
      <c r="F4" t="s">
        <v>126</v>
      </c>
      <c r="G4" s="7">
        <v>3</v>
      </c>
      <c r="H4" t="s">
        <v>128</v>
      </c>
    </row>
    <row r="5" spans="2:8" x14ac:dyDescent="0.25">
      <c r="B5" t="s">
        <v>129</v>
      </c>
      <c r="C5" s="7">
        <v>5</v>
      </c>
      <c r="F5" t="s">
        <v>129</v>
      </c>
      <c r="G5" s="7">
        <v>5</v>
      </c>
    </row>
    <row r="6" spans="2:8" x14ac:dyDescent="0.25">
      <c r="B6" t="s">
        <v>130</v>
      </c>
      <c r="C6">
        <f>(C4/'System Configuration'!$C$4)*100</f>
        <v>28.288543140028288</v>
      </c>
      <c r="D6" t="s">
        <v>19</v>
      </c>
      <c r="F6" t="s">
        <v>132</v>
      </c>
      <c r="G6">
        <f>(G4/'System Configuration'!$C$3)*100</f>
        <v>6.7891735312754591</v>
      </c>
      <c r="H6" t="s">
        <v>19</v>
      </c>
    </row>
    <row r="7" spans="2:8" x14ac:dyDescent="0.25">
      <c r="B7" t="s">
        <v>142</v>
      </c>
      <c r="C7">
        <f>(C6/100)*('System Configuration'!$C$7)</f>
        <v>30356673.267326731</v>
      </c>
      <c r="D7" t="s">
        <v>13</v>
      </c>
      <c r="F7" t="s">
        <v>143</v>
      </c>
      <c r="G7">
        <f>(G6/100)*('System Configuration'!$C$7)</f>
        <v>7285519.1454693582</v>
      </c>
      <c r="H7" t="s">
        <v>13</v>
      </c>
    </row>
    <row r="8" spans="2:8" x14ac:dyDescent="0.25">
      <c r="B8" t="s">
        <v>141</v>
      </c>
      <c r="C8">
        <f>C5</f>
        <v>5</v>
      </c>
      <c r="D8" t="s">
        <v>13</v>
      </c>
      <c r="F8" t="s">
        <v>144</v>
      </c>
      <c r="G8">
        <f>G5</f>
        <v>5</v>
      </c>
      <c r="H8" t="s">
        <v>13</v>
      </c>
    </row>
    <row r="9" spans="2:8" x14ac:dyDescent="0.25">
      <c r="B9" t="s">
        <v>142</v>
      </c>
      <c r="C9" s="5" t="str">
        <f>DEC2HEX(C7)</f>
        <v>1CF34C1</v>
      </c>
      <c r="D9" t="s">
        <v>11</v>
      </c>
      <c r="F9" t="s">
        <v>143</v>
      </c>
      <c r="G9" s="5" t="str">
        <f>DEC2HEX(G7)</f>
        <v>6F2B0F</v>
      </c>
      <c r="H9" t="s">
        <v>11</v>
      </c>
    </row>
    <row r="10" spans="2:8" x14ac:dyDescent="0.25">
      <c r="B10" t="s">
        <v>141</v>
      </c>
      <c r="C10" s="5" t="str">
        <f>DEC2HEX(C5)</f>
        <v>5</v>
      </c>
      <c r="D10" t="s">
        <v>11</v>
      </c>
      <c r="F10" t="s">
        <v>144</v>
      </c>
      <c r="G10" s="5" t="str">
        <f>DEC2HEX(G5)</f>
        <v>5</v>
      </c>
      <c r="H10" t="s">
        <v>11</v>
      </c>
    </row>
    <row r="12" spans="2:8" x14ac:dyDescent="0.25">
      <c r="B12" s="37" t="s">
        <v>134</v>
      </c>
      <c r="C12" s="37"/>
      <c r="D12" s="37"/>
      <c r="E12" s="37"/>
      <c r="F12" s="37"/>
      <c r="G12" s="37"/>
      <c r="H12" s="37"/>
    </row>
    <row r="13" spans="2:8" x14ac:dyDescent="0.25">
      <c r="B13" s="37" t="s">
        <v>139</v>
      </c>
      <c r="C13" s="37"/>
      <c r="D13" s="33" t="s">
        <v>2</v>
      </c>
      <c r="F13" s="37" t="s">
        <v>140</v>
      </c>
      <c r="G13" s="37"/>
      <c r="H13" t="s">
        <v>2</v>
      </c>
    </row>
    <row r="14" spans="2:8" x14ac:dyDescent="0.25">
      <c r="B14" t="s">
        <v>125</v>
      </c>
      <c r="C14" s="35">
        <v>70</v>
      </c>
      <c r="D14" s="34" t="s">
        <v>127</v>
      </c>
      <c r="F14" t="s">
        <v>126</v>
      </c>
      <c r="G14" s="7">
        <v>34</v>
      </c>
      <c r="H14" t="s">
        <v>128</v>
      </c>
    </row>
    <row r="15" spans="2:8" x14ac:dyDescent="0.25">
      <c r="B15" t="s">
        <v>129</v>
      </c>
      <c r="C15" s="7">
        <v>5</v>
      </c>
      <c r="F15" t="s">
        <v>129</v>
      </c>
      <c r="G15" s="7">
        <v>5</v>
      </c>
    </row>
    <row r="16" spans="2:8" x14ac:dyDescent="0.25">
      <c r="B16" t="s">
        <v>131</v>
      </c>
      <c r="C16">
        <f>(C14/'System Configuration'!$C$4)*100</f>
        <v>9.9009900990099009</v>
      </c>
      <c r="D16" t="s">
        <v>19</v>
      </c>
      <c r="F16" t="s">
        <v>132</v>
      </c>
      <c r="G16">
        <f>(G14/'System Configuration'!$C$3)*100</f>
        <v>76.943966687788532</v>
      </c>
      <c r="H16" t="s">
        <v>19</v>
      </c>
    </row>
    <row r="17" spans="2:8" x14ac:dyDescent="0.25">
      <c r="B17" t="s">
        <v>135</v>
      </c>
      <c r="C17">
        <f>(C16/100)*('System Configuration'!$C$7)</f>
        <v>10624835.643564356</v>
      </c>
      <c r="D17" t="s">
        <v>13</v>
      </c>
      <c r="F17" t="s">
        <v>137</v>
      </c>
      <c r="G17">
        <f>(G16/100)*('System Configuration'!$C$7)</f>
        <v>82569216.981986061</v>
      </c>
      <c r="H17" t="s">
        <v>13</v>
      </c>
    </row>
    <row r="18" spans="2:8" x14ac:dyDescent="0.25">
      <c r="B18" t="s">
        <v>136</v>
      </c>
      <c r="C18">
        <f>C15</f>
        <v>5</v>
      </c>
      <c r="D18" t="s">
        <v>13</v>
      </c>
      <c r="F18" t="s">
        <v>138</v>
      </c>
      <c r="G18">
        <f>G15</f>
        <v>5</v>
      </c>
      <c r="H18" t="s">
        <v>13</v>
      </c>
    </row>
    <row r="19" spans="2:8" x14ac:dyDescent="0.25">
      <c r="B19" t="s">
        <v>135</v>
      </c>
      <c r="C19" s="5" t="str">
        <f>DEC2HEX(C17)</f>
        <v>A21F43</v>
      </c>
      <c r="D19" t="s">
        <v>11</v>
      </c>
      <c r="F19" t="s">
        <v>137</v>
      </c>
      <c r="G19" s="5" t="str">
        <f>DEC2HEX(G17)</f>
        <v>4EBE800</v>
      </c>
      <c r="H19" t="s">
        <v>11</v>
      </c>
    </row>
    <row r="20" spans="2:8" x14ac:dyDescent="0.25">
      <c r="B20" t="s">
        <v>136</v>
      </c>
      <c r="C20" s="5" t="str">
        <f>DEC2HEX(C15)</f>
        <v>5</v>
      </c>
      <c r="D20" t="s">
        <v>11</v>
      </c>
      <c r="F20" t="s">
        <v>138</v>
      </c>
      <c r="G20" s="5" t="str">
        <f>DEC2HEX(G15)</f>
        <v>5</v>
      </c>
      <c r="H20" t="s">
        <v>11</v>
      </c>
    </row>
  </sheetData>
  <mergeCells count="6">
    <mergeCell ref="B13:C13"/>
    <mergeCell ref="F13:G13"/>
    <mergeCell ref="B2:H2"/>
    <mergeCell ref="B3:C3"/>
    <mergeCell ref="F3:G3"/>
    <mergeCell ref="B12:H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F62A-913F-4F95-8FDD-8B80B15CBA18}">
  <dimension ref="C2:J28"/>
  <sheetViews>
    <sheetView topLeftCell="B1" zoomScale="130" zoomScaleNormal="130" workbookViewId="0">
      <selection activeCell="D8" sqref="D8"/>
    </sheetView>
  </sheetViews>
  <sheetFormatPr defaultRowHeight="15" x14ac:dyDescent="0.25"/>
  <cols>
    <col min="2" max="2" width="20.140625" customWidth="1"/>
    <col min="3" max="3" width="30.42578125" bestFit="1" customWidth="1"/>
    <col min="4" max="4" width="12.5703125" customWidth="1"/>
    <col min="5" max="5" width="11" bestFit="1" customWidth="1"/>
    <col min="6" max="6" width="17.85546875" bestFit="1" customWidth="1"/>
    <col min="7" max="7" width="19.5703125" customWidth="1"/>
    <col min="8" max="8" width="12.5703125" bestFit="1" customWidth="1"/>
    <col min="9" max="9" width="17" bestFit="1" customWidth="1"/>
    <col min="10" max="10" width="15.7109375" customWidth="1"/>
  </cols>
  <sheetData>
    <row r="2" spans="3:10" x14ac:dyDescent="0.25">
      <c r="C2" t="s">
        <v>73</v>
      </c>
      <c r="D2" s="7">
        <v>10000</v>
      </c>
      <c r="E2" t="s">
        <v>77</v>
      </c>
    </row>
    <row r="3" spans="3:10" x14ac:dyDescent="0.25">
      <c r="C3" t="s">
        <v>74</v>
      </c>
      <c r="D3">
        <f>'System Configuration'!C8</f>
        <v>85829040</v>
      </c>
      <c r="E3" t="s">
        <v>76</v>
      </c>
    </row>
    <row r="4" spans="3:10" x14ac:dyDescent="0.25">
      <c r="C4" t="s">
        <v>4</v>
      </c>
      <c r="D4">
        <f>'System Configuration'!C3</f>
        <v>44.188000000000002</v>
      </c>
      <c r="E4" t="s">
        <v>8</v>
      </c>
    </row>
    <row r="5" spans="3:10" x14ac:dyDescent="0.25">
      <c r="C5" t="s">
        <v>9</v>
      </c>
      <c r="D5">
        <f>'System Configuration'!C4</f>
        <v>707</v>
      </c>
      <c r="E5" t="s">
        <v>6</v>
      </c>
    </row>
    <row r="6" spans="3:10" x14ac:dyDescent="0.25">
      <c r="C6" t="s">
        <v>94</v>
      </c>
      <c r="D6" s="7">
        <v>3</v>
      </c>
    </row>
    <row r="7" spans="3:10" x14ac:dyDescent="0.25">
      <c r="C7" t="s">
        <v>75</v>
      </c>
      <c r="D7" s="3">
        <f>(1000*60*60*D3*4000)/(D2*D4*D5*256)</f>
        <v>15453719.410788083</v>
      </c>
      <c r="E7" t="s">
        <v>76</v>
      </c>
      <c r="J7" s="3"/>
    </row>
    <row r="8" spans="3:10" x14ac:dyDescent="0.25">
      <c r="C8" t="s">
        <v>75</v>
      </c>
      <c r="D8" s="5" t="str">
        <f>DEC2HEX(D7)</f>
        <v>EBCE17</v>
      </c>
      <c r="E8" t="s">
        <v>11</v>
      </c>
    </row>
    <row r="9" spans="3:10" x14ac:dyDescent="0.25">
      <c r="C9" t="s">
        <v>147</v>
      </c>
      <c r="D9">
        <f>(D3*4000)/(D7*256)*D6</f>
        <v>260.34096666666665</v>
      </c>
      <c r="E9" t="s">
        <v>43</v>
      </c>
      <c r="F9" s="3"/>
      <c r="I9" s="31"/>
    </row>
    <row r="11" spans="3:10" x14ac:dyDescent="0.25">
      <c r="C11" s="37" t="s">
        <v>104</v>
      </c>
      <c r="D11" s="37"/>
      <c r="E11" s="37"/>
      <c r="G11" s="20"/>
      <c r="H11" s="20"/>
    </row>
    <row r="12" spans="3:10" x14ac:dyDescent="0.25">
      <c r="C12" t="s">
        <v>105</v>
      </c>
      <c r="D12" s="7">
        <v>1</v>
      </c>
      <c r="E12" t="s">
        <v>8</v>
      </c>
    </row>
    <row r="13" spans="3:10" x14ac:dyDescent="0.25">
      <c r="C13" t="s">
        <v>72</v>
      </c>
      <c r="D13" s="7">
        <v>230</v>
      </c>
      <c r="E13" t="s">
        <v>6</v>
      </c>
    </row>
    <row r="14" spans="3:10" x14ac:dyDescent="0.25">
      <c r="C14" t="s">
        <v>95</v>
      </c>
      <c r="D14" s="36">
        <f>D9*((D12*D13)/(D4*D5))</f>
        <v>1.9166666666666663</v>
      </c>
      <c r="E14" t="s">
        <v>43</v>
      </c>
    </row>
    <row r="16" spans="3:10" x14ac:dyDescent="0.25">
      <c r="C16" s="20"/>
      <c r="D16" s="20"/>
      <c r="E16" s="20"/>
    </row>
    <row r="20" spans="6:8" x14ac:dyDescent="0.25">
      <c r="F20" s="3"/>
    </row>
    <row r="26" spans="6:8" x14ac:dyDescent="0.25">
      <c r="H26" s="3"/>
    </row>
    <row r="28" spans="6:8" x14ac:dyDescent="0.25">
      <c r="H28" s="3"/>
    </row>
  </sheetData>
  <mergeCells count="1">
    <mergeCell ref="C11:E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98F0-5917-4872-AFEB-D6F0F0DD69FF}">
  <dimension ref="A1:C7"/>
  <sheetViews>
    <sheetView tabSelected="1" zoomScaleNormal="100" workbookViewId="0">
      <selection activeCell="C13" sqref="C13"/>
    </sheetView>
  </sheetViews>
  <sheetFormatPr defaultRowHeight="15" x14ac:dyDescent="0.25"/>
  <cols>
    <col min="1" max="1" width="13.85546875" bestFit="1" customWidth="1"/>
    <col min="3" max="3" width="47.85546875" bestFit="1" customWidth="1"/>
  </cols>
  <sheetData>
    <row r="1" spans="1:3" x14ac:dyDescent="0.25">
      <c r="A1" t="s">
        <v>119</v>
      </c>
      <c r="B1" t="s">
        <v>106</v>
      </c>
      <c r="C1" t="s">
        <v>108</v>
      </c>
    </row>
    <row r="2" spans="1:3" x14ac:dyDescent="0.25">
      <c r="A2" s="28">
        <v>45455</v>
      </c>
      <c r="B2">
        <v>0</v>
      </c>
      <c r="C2" t="s">
        <v>107</v>
      </c>
    </row>
    <row r="3" spans="1:3" x14ac:dyDescent="0.25">
      <c r="A3" s="28"/>
    </row>
    <row r="4" spans="1:3" x14ac:dyDescent="0.25">
      <c r="A4" s="28"/>
    </row>
    <row r="5" spans="1:3" x14ac:dyDescent="0.25">
      <c r="A5" s="28"/>
    </row>
    <row r="6" spans="1:3" x14ac:dyDescent="0.25">
      <c r="A6" s="28"/>
    </row>
    <row r="7" spans="1:3" x14ac:dyDescent="0.25">
      <c r="A7"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074f585-c746-4d97-860d-7643a924fb12">
      <Terms xmlns="http://schemas.microsoft.com/office/infopath/2007/PartnerControls"/>
    </lcf76f155ced4ddcb4097134ff3c332f>
    <TaxCatchAll xmlns="b4ef258e-2f1f-43c2-be61-d8cbdbdd13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1E74BB5656F04FA9F4D3D3DE01BC6F" ma:contentTypeVersion="14" ma:contentTypeDescription="Create a new document." ma:contentTypeScope="" ma:versionID="ecd267450ef7fe345eed7ac671ca7867">
  <xsd:schema xmlns:xsd="http://www.w3.org/2001/XMLSchema" xmlns:xs="http://www.w3.org/2001/XMLSchema" xmlns:p="http://schemas.microsoft.com/office/2006/metadata/properties" xmlns:ns2="b074f585-c746-4d97-860d-7643a924fb12" xmlns:ns3="b4ef258e-2f1f-43c2-be61-d8cbdbdd13fd" targetNamespace="http://schemas.microsoft.com/office/2006/metadata/properties" ma:root="true" ma:fieldsID="fe0005fae04ae5ce0377da2ea428cf33" ns2:_="" ns3:_="">
    <xsd:import namespace="b074f585-c746-4d97-860d-7643a924fb12"/>
    <xsd:import namespace="b4ef258e-2f1f-43c2-be61-d8cbdbdd13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74f585-c746-4d97-860d-7643a924f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45de00c-9d84-443a-8c85-ac82572830c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ef258e-2f1f-43c2-be61-d8cbdbdd13f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78db6a7-30b6-40ef-8d59-35d91a1e7c32}" ma:internalName="TaxCatchAll" ma:showField="CatchAllData" ma:web="b4ef258e-2f1f-43c2-be61-d8cbdbdd13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DFCCC8-653A-4F5F-B52F-6E40587F91D4}">
  <ds:schemaRefs>
    <ds:schemaRef ds:uri="http://schemas.microsoft.com/office/2006/metadata/properties"/>
    <ds:schemaRef ds:uri="http://schemas.microsoft.com/office/infopath/2007/PartnerControls"/>
    <ds:schemaRef ds:uri="b074f585-c746-4d97-860d-7643a924fb12"/>
    <ds:schemaRef ds:uri="b4ef258e-2f1f-43c2-be61-d8cbdbdd13fd"/>
  </ds:schemaRefs>
</ds:datastoreItem>
</file>

<file path=customXml/itemProps2.xml><?xml version="1.0" encoding="utf-8"?>
<ds:datastoreItem xmlns:ds="http://schemas.openxmlformats.org/officeDocument/2006/customXml" ds:itemID="{A740DA9D-604C-4857-944E-2BF0467CE8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74f585-c746-4d97-860d-7643a924fb12"/>
    <ds:schemaRef ds:uri="b4ef258e-2f1f-43c2-be61-d8cbdbdd13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1A3A0A-62E8-4B51-9D24-49DD4A8779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System Configuration</vt:lpstr>
      <vt:lpstr>Calibration Calculations</vt:lpstr>
      <vt:lpstr>Conversion Equations</vt:lpstr>
      <vt:lpstr>Dip &amp; Swell Setup</vt:lpstr>
      <vt:lpstr>CF Pulse Setup</vt:lpstr>
      <vt:lpstr>Revision Tracking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Trimble, Sam</dc:creator>
  <cp:keywords/>
  <dc:description/>
  <cp:lastModifiedBy>Trimble, Sam</cp:lastModifiedBy>
  <cp:revision/>
  <dcterms:created xsi:type="dcterms:W3CDTF">2023-08-04T16:27:46Z</dcterms:created>
  <dcterms:modified xsi:type="dcterms:W3CDTF">2024-06-12T08:48:30Z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0x0101002D1E74BB5656F04FA9F4D3D3DE01BC6F</vt:lpwstr>
  </property>
  <property fmtid="{D5CDD505-2E9C-101B-9397-08002B2CF9AE}" pid="3" name="MediaServiceImageTags">
    <vt:lpwstr/>
  </property>
</Properties>
</file>