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19155" windowHeight="8085"/>
  </bookViews>
  <sheets>
    <sheet name="Calculations" sheetId="1" r:id="rId1"/>
    <sheet name="Wire Sizes" sheetId="2" r:id="rId2"/>
    <sheet name="Sheet3" sheetId="3" r:id="rId3"/>
  </sheets>
  <definedNames>
    <definedName name="Actual_Flux_Density">Calculations!$C$4</definedName>
    <definedName name="AWG_Table">'Wire Sizes'!$B$7:$E$47</definedName>
    <definedName name="AWG_Wire_Area">'Wire Sizes'!$D$7:$D$47</definedName>
    <definedName name="AWG_Wire_Top">'Wire Sizes'!$D$7</definedName>
    <definedName name="Calcs_ET_Product">Calculations!$C$29</definedName>
    <definedName name="Calcs_Flux_Actual">Calculations!#REF!</definedName>
    <definedName name="Calcs_Flux_Target">Calculations!#REF!</definedName>
    <definedName name="Calcs_Targ_Turns_Pri">Calculations!$C$30</definedName>
    <definedName name="Calcs_Targ_Turns_Sec1">Calculations!$C$31</definedName>
    <definedName name="Calcs_Targ_Turns_Sec2">Calculations!$C$32</definedName>
    <definedName name="Const_AC_Corr">Calculations!$C$26</definedName>
    <definedName name="Const_Flux_Derating">Calculations!$C$24</definedName>
    <definedName name="Const_Flux_Target">Calculations!#REF!</definedName>
    <definedName name="Const_Max_Period">Calculations!$C$21</definedName>
    <definedName name="Const_MAX13256_ILim">Calculations!$C$23</definedName>
    <definedName name="Const_MAX13256_R">Calculations!$C$22</definedName>
    <definedName name="Const_Min_OSC">Calculations!$C$20</definedName>
    <definedName name="Const_Mu_0">Calculations!$C$27</definedName>
    <definedName name="Const_Wind_Fill_Fac">Calculations!$C$25</definedName>
    <definedName name="Core_Area_Ferrite">Calculations!$C$8</definedName>
    <definedName name="Core_Area_Window">Calculations!$C$9</definedName>
    <definedName name="Core_Effective_Length">Calculations!$C$11</definedName>
    <definedName name="Core_Effective_Volume">Calculations!$C$12</definedName>
    <definedName name="Core_Mean_Length_per_Turn">Calculations!$C$10</definedName>
    <definedName name="DCR_DCR_per_Turn_Sec1">Calculations!$C$69</definedName>
    <definedName name="Ferrite_Core_Loss">Calculations!$C$5</definedName>
    <definedName name="Ferrite_Flux_Density">Calculations!$C$2</definedName>
    <definedName name="Ferrite_Mu_Rel">Calculations!$C$6</definedName>
    <definedName name="Losses_b">Calculations!$C$81</definedName>
    <definedName name="Losses_c">Calculations!$C$82</definedName>
    <definedName name="Losses_Core_Loss">Calculations!$C$76</definedName>
    <definedName name="Losses_IC_DC_I">Calculations!$C$84</definedName>
    <definedName name="Losses_IC_RMS_I">Calculations!$C$85</definedName>
    <definedName name="Losses_IMag">Calculations!$C$77</definedName>
    <definedName name="Losses_OCL_pk">Calculations!$C$79</definedName>
    <definedName name="Losses_OCL_pp">Calculations!$C$78</definedName>
    <definedName name="Losses_OCL_rms">Calculations!$C$80</definedName>
    <definedName name="Losses_V_at_PRI">Calculations!$C$83</definedName>
    <definedName name="Prop_Wire_Area_Pri">Calculations!$C$52</definedName>
    <definedName name="Prop_Wire_Area_Sec1">Calculations!$C$54</definedName>
    <definedName name="Prop_Wire_Area_Sec2">Calculations!$C$56</definedName>
    <definedName name="Prop_Wire_Gauge_Pri">Calculations!$C$51</definedName>
    <definedName name="Prop_Wire_Gauge_Sec1">Calculations!$C$53</definedName>
    <definedName name="Prop_Wire_Gauge_Sec2">Calculations!$C$55</definedName>
    <definedName name="User_DCR_per_Turn_Pri">Calculations!$C$68</definedName>
    <definedName name="User_DCR_per_Turn_Sec1">Calculations!$C$69</definedName>
    <definedName name="USER_DCR_per_Turn_Sec2">Calculations!$C$70</definedName>
    <definedName name="User_DCR_Pri">Calculations!$C$72</definedName>
    <definedName name="User_DCR_Sec1">Calculations!$C$73</definedName>
    <definedName name="User_DCR_Sec2">Calculations!$C$74</definedName>
    <definedName name="User_Gauge_Pri">Calculations!$C$59</definedName>
    <definedName name="User_Gauge_Sec">Calculations!$C$60</definedName>
    <definedName name="User_Gauge_Sec1">Calculations!$C$60</definedName>
    <definedName name="User_Gauge_Sec2">Calculations!$C$61</definedName>
    <definedName name="User_Turns_Pri">Calculations!$C$35</definedName>
    <definedName name="User_Turns_Sec1">Calculations!$C$36</definedName>
    <definedName name="User_Turns_Sec2">Calculations!$C$37</definedName>
    <definedName name="User_Window_Total">Calculations!$C$66</definedName>
    <definedName name="User_Wire_Area_Pri">Calculations!$C$63</definedName>
    <definedName name="User_Wire_Area_Sec1">Calculations!$C$64</definedName>
    <definedName name="User_Wire_Area_Sec2">Calculations!$C$65</definedName>
    <definedName name="VnI_IOUT1">Calculations!$C$16</definedName>
    <definedName name="VnI_IOUT2">Calculations!$C$18</definedName>
    <definedName name="VnI_VIN">Calculations!$C$14</definedName>
    <definedName name="VnI_VOUT1_Target">Calculations!$C$15</definedName>
    <definedName name="VnI_VOUT2_TARGET">Calculations!$C$17</definedName>
    <definedName name="Wind_Frac_Pri">Calculations!$C$42</definedName>
    <definedName name="Wind_Frac_Sec1">Calculations!$C$43</definedName>
    <definedName name="Wind_Frac_Sec2">Calculations!$C$44</definedName>
    <definedName name="Wind_I_Total">Calculations!$C$41</definedName>
    <definedName name="Wind_Wire_Area_Pri">Calculations!$C$47</definedName>
    <definedName name="Wind_Wire_Area_Sec1">Calculations!$C$48</definedName>
    <definedName name="Wind_Wire_Area_Sec2">Calculations!$C$49</definedName>
    <definedName name="Window_I_Pri">Calculations!$C$40</definedName>
  </definedNames>
  <calcPr calcId="125725"/>
</workbook>
</file>

<file path=xl/calcChain.xml><?xml version="1.0" encoding="utf-8"?>
<calcChain xmlns="http://schemas.openxmlformats.org/spreadsheetml/2006/main">
  <c r="C3" i="1"/>
  <c r="C21"/>
  <c r="G103" l="1"/>
  <c r="G98"/>
  <c r="C89"/>
  <c r="C76"/>
  <c r="C70"/>
  <c r="C74" s="1"/>
  <c r="C69"/>
  <c r="C73" s="1"/>
  <c r="C68"/>
  <c r="C72" s="1"/>
  <c r="C65"/>
  <c r="C64"/>
  <c r="C63"/>
  <c r="C102" l="1"/>
  <c r="C97"/>
  <c r="C82"/>
  <c r="F94"/>
  <c r="G105"/>
  <c r="C66"/>
  <c r="D7" i="2"/>
  <c r="E7" s="1"/>
  <c r="D8"/>
  <c r="E8" s="1"/>
  <c r="D9"/>
  <c r="E9" s="1"/>
  <c r="D10"/>
  <c r="E10" s="1"/>
  <c r="D11"/>
  <c r="E11" s="1"/>
  <c r="D12"/>
  <c r="E12" s="1"/>
  <c r="D13"/>
  <c r="E13" s="1"/>
  <c r="D14"/>
  <c r="E14" s="1"/>
  <c r="D15"/>
  <c r="E15" s="1"/>
  <c r="D16"/>
  <c r="E16" s="1"/>
  <c r="D17"/>
  <c r="E17" s="1"/>
  <c r="D18"/>
  <c r="E18" s="1"/>
  <c r="D19"/>
  <c r="E19" s="1"/>
  <c r="D20"/>
  <c r="E20" s="1"/>
  <c r="D21"/>
  <c r="E21" s="1"/>
  <c r="D22"/>
  <c r="E22" s="1"/>
  <c r="D23"/>
  <c r="E23" s="1"/>
  <c r="D24"/>
  <c r="E24" s="1"/>
  <c r="D25"/>
  <c r="E25" s="1"/>
  <c r="D26"/>
  <c r="E26" s="1"/>
  <c r="D27"/>
  <c r="E27" s="1"/>
  <c r="D28"/>
  <c r="E28" s="1"/>
  <c r="D29"/>
  <c r="E29" s="1"/>
  <c r="D30"/>
  <c r="E30" s="1"/>
  <c r="D31"/>
  <c r="E31" s="1"/>
  <c r="D32"/>
  <c r="E32" s="1"/>
  <c r="D33"/>
  <c r="E33" s="1"/>
  <c r="D34"/>
  <c r="E34" s="1"/>
  <c r="D35"/>
  <c r="E35" s="1"/>
  <c r="D36"/>
  <c r="E36" s="1"/>
  <c r="D37"/>
  <c r="E37" s="1"/>
  <c r="D38"/>
  <c r="E38" s="1"/>
  <c r="D39"/>
  <c r="E39" s="1"/>
  <c r="D40"/>
  <c r="E40" s="1"/>
  <c r="D41"/>
  <c r="E41" s="1"/>
  <c r="D42"/>
  <c r="E42" s="1"/>
  <c r="D43"/>
  <c r="E43" s="1"/>
  <c r="D44"/>
  <c r="E44" s="1"/>
  <c r="D45"/>
  <c r="E45" s="1"/>
  <c r="D46"/>
  <c r="E46" s="1"/>
  <c r="D47"/>
  <c r="E47" s="1"/>
  <c r="C40" i="1" l="1"/>
  <c r="C81" s="1"/>
  <c r="C83" s="1"/>
  <c r="C84" s="1"/>
  <c r="C29"/>
  <c r="C30" s="1"/>
  <c r="G17"/>
  <c r="F17"/>
  <c r="G15"/>
  <c r="G14"/>
  <c r="F14"/>
  <c r="E15"/>
  <c r="E14"/>
  <c r="C27"/>
  <c r="C77" s="1"/>
  <c r="D66"/>
  <c r="C90" l="1"/>
  <c r="C92"/>
  <c r="C78"/>
  <c r="C79" s="1"/>
  <c r="C80" s="1"/>
  <c r="C85" s="1"/>
  <c r="C41"/>
  <c r="F102" l="1"/>
  <c r="F97"/>
  <c r="F92"/>
  <c r="E90"/>
  <c r="C86"/>
  <c r="D86" s="1"/>
  <c r="C32"/>
  <c r="D37" s="1"/>
  <c r="D35"/>
  <c r="C31"/>
  <c r="D36" s="1"/>
  <c r="C44"/>
  <c r="C49" s="1"/>
  <c r="C43"/>
  <c r="C48" s="1"/>
  <c r="C42"/>
  <c r="C47" s="1"/>
  <c r="E105" l="1"/>
  <c r="C52"/>
  <c r="C51"/>
  <c r="C56"/>
  <c r="C55"/>
  <c r="C54"/>
  <c r="C53"/>
  <c r="F105" l="1"/>
  <c r="C109" s="1"/>
  <c r="C91"/>
  <c r="C93" l="1"/>
  <c r="C96" l="1"/>
  <c r="C99" s="1"/>
  <c r="C106" s="1"/>
  <c r="C101"/>
  <c r="C104" s="1"/>
  <c r="C107" l="1"/>
  <c r="C108" s="1"/>
  <c r="C110" l="1"/>
  <c r="C111" s="1"/>
</calcChain>
</file>

<file path=xl/sharedStrings.xml><?xml version="1.0" encoding="utf-8"?>
<sst xmlns="http://schemas.openxmlformats.org/spreadsheetml/2006/main" count="235" uniqueCount="166">
  <si>
    <t>Rev 1.0</t>
  </si>
  <si>
    <t>Flux Density, Hot</t>
  </si>
  <si>
    <t>mT</t>
  </si>
  <si>
    <t>V(IN)</t>
  </si>
  <si>
    <t>V</t>
  </si>
  <si>
    <t>V(OUT)1</t>
  </si>
  <si>
    <t>I(OUT)1</t>
  </si>
  <si>
    <t>A</t>
  </si>
  <si>
    <t>V(OUT)2</t>
  </si>
  <si>
    <t>I(OUT)2</t>
  </si>
  <si>
    <t>Target</t>
  </si>
  <si>
    <t>Core Loss</t>
  </si>
  <si>
    <t>kW/m^3</t>
  </si>
  <si>
    <t>CALCS</t>
  </si>
  <si>
    <t>CONST</t>
  </si>
  <si>
    <t>MAX13256</t>
  </si>
  <si>
    <t>KHz</t>
  </si>
  <si>
    <t>sec</t>
  </si>
  <si>
    <t>ET Constant</t>
  </si>
  <si>
    <t>Safety Derating</t>
  </si>
  <si>
    <t>Ferrite DS</t>
  </si>
  <si>
    <t>Core DS</t>
  </si>
  <si>
    <t>Primary Turns</t>
  </si>
  <si>
    <t>Cross Sectional Area</t>
  </si>
  <si>
    <t>mm^2</t>
  </si>
  <si>
    <t>Sec 2 Turns</t>
  </si>
  <si>
    <t>Sec 1 Turns</t>
  </si>
  <si>
    <t>Actual</t>
  </si>
  <si>
    <t>T</t>
  </si>
  <si>
    <t>I Total</t>
  </si>
  <si>
    <t>Window Frac Pri</t>
  </si>
  <si>
    <t>I Primary</t>
  </si>
  <si>
    <t>Window Frac Sec 1</t>
  </si>
  <si>
    <t>Window Frac Sec 2</t>
  </si>
  <si>
    <t>Winding Fill Factor</t>
  </si>
  <si>
    <t>Wire Diameter Pri</t>
  </si>
  <si>
    <t>Wire Diameter Sec 1</t>
  </si>
  <si>
    <t>Wire Diameter Sec 2</t>
  </si>
  <si>
    <t>Window Area</t>
  </si>
  <si>
    <t>Wire Gauge Pri</t>
  </si>
  <si>
    <t>Wire Gauge Sec 1</t>
  </si>
  <si>
    <t>Wire Gauge Sec 2</t>
  </si>
  <si>
    <t>Wire DCR Pri</t>
  </si>
  <si>
    <t>Wire DCR Sec 1</t>
  </si>
  <si>
    <t>Wire DCR Sec 2</t>
  </si>
  <si>
    <t>Winding DCR Pri</t>
  </si>
  <si>
    <t>Winding DCR Sec 1</t>
  </si>
  <si>
    <t>Winding DCR Sec 2</t>
  </si>
  <si>
    <t>Mag Inductance</t>
  </si>
  <si>
    <t>Peak AC Mag Current</t>
  </si>
  <si>
    <t>Ohms</t>
  </si>
  <si>
    <t>MLT</t>
  </si>
  <si>
    <t>mm</t>
  </si>
  <si>
    <t>H/m</t>
  </si>
  <si>
    <t>Effective Length</t>
  </si>
  <si>
    <t>Pk-Pk AC Mag Current</t>
  </si>
  <si>
    <t>RMS AC Mag Current</t>
  </si>
  <si>
    <t>H</t>
  </si>
  <si>
    <t>Effective Volume</t>
  </si>
  <si>
    <t>mm^3</t>
  </si>
  <si>
    <t>V and I</t>
  </si>
  <si>
    <t>Turns Ratios</t>
  </si>
  <si>
    <t>INPUT</t>
  </si>
  <si>
    <t>Wire Area Pri</t>
  </si>
  <si>
    <t>Wire Area Sec 1</t>
  </si>
  <si>
    <t>Wire Area Sec 2</t>
  </si>
  <si>
    <t>User Turns</t>
  </si>
  <si>
    <t>Window</t>
  </si>
  <si>
    <t>V-sec</t>
  </si>
  <si>
    <t>AWG</t>
  </si>
  <si>
    <t>Wire Dia</t>
  </si>
  <si>
    <t>Resistivity</t>
  </si>
  <si>
    <t>25C</t>
  </si>
  <si>
    <t>100C</t>
  </si>
  <si>
    <t>Ohm-mm</t>
  </si>
  <si>
    <t>Wire Area</t>
  </si>
  <si>
    <t>Resistance</t>
  </si>
  <si>
    <t>Ohm/mm</t>
  </si>
  <si>
    <t>Proposed</t>
  </si>
  <si>
    <t>Wire Gauge Sec2</t>
  </si>
  <si>
    <t>User Wire</t>
  </si>
  <si>
    <t>Window Total</t>
  </si>
  <si>
    <t>Ohms/mm</t>
  </si>
  <si>
    <t>Losses</t>
  </si>
  <si>
    <t>W</t>
  </si>
  <si>
    <t>Switch Resistance</t>
  </si>
  <si>
    <t>Ohm</t>
  </si>
  <si>
    <t>MAX13256 RMS Current</t>
  </si>
  <si>
    <t>MAX13256 Peak Current</t>
  </si>
  <si>
    <t>Current Limit</t>
  </si>
  <si>
    <t>Chain</t>
  </si>
  <si>
    <t>To Sec1</t>
  </si>
  <si>
    <t>Sec1 Rail</t>
  </si>
  <si>
    <t>To Sec2</t>
  </si>
  <si>
    <t>Sec2 Diode</t>
  </si>
  <si>
    <t>Sec2 Rail</t>
  </si>
  <si>
    <t>Efficiency</t>
  </si>
  <si>
    <t>P Sec1</t>
  </si>
  <si>
    <t>P sec2</t>
  </si>
  <si>
    <t>Pout</t>
  </si>
  <si>
    <t>Pin</t>
  </si>
  <si>
    <t>Ploss</t>
  </si>
  <si>
    <t>A rms</t>
  </si>
  <si>
    <t>A pk-pk</t>
  </si>
  <si>
    <t>MAX13256 VCC</t>
  </si>
  <si>
    <t>Subtract Switch Drop</t>
  </si>
  <si>
    <t>To Primary</t>
  </si>
  <si>
    <t>Sec1 IR Drop</t>
  </si>
  <si>
    <t>Sec1 Diode Drop</t>
  </si>
  <si>
    <t>Sec2 IR Drop</t>
  </si>
  <si>
    <t>XFMR</t>
  </si>
  <si>
    <t>MAX13256 DC Current</t>
  </si>
  <si>
    <t>A DC</t>
  </si>
  <si>
    <t>Diodes</t>
  </si>
  <si>
    <t>Subtract PRI R Drop</t>
  </si>
  <si>
    <t>To Core</t>
  </si>
  <si>
    <t>b (neg)</t>
  </si>
  <si>
    <t>c (neg)</t>
  </si>
  <si>
    <t>Vpri</t>
  </si>
  <si>
    <t>AC Resistance Corr</t>
  </si>
  <si>
    <t>A pk</t>
  </si>
  <si>
    <t>MAX13256 Transformer Design</t>
  </si>
  <si>
    <t>Derated Flux Density</t>
  </si>
  <si>
    <t>Actual Flux Density</t>
  </si>
  <si>
    <t>Peak flux density from the DS</t>
  </si>
  <si>
    <t>Enter: actual flux density</t>
  </si>
  <si>
    <t>Enter: core loss from the DS</t>
  </si>
  <si>
    <t>Calc: derated peak flux density</t>
  </si>
  <si>
    <t>Enter: relative permeability from DS</t>
  </si>
  <si>
    <t>Enter all from the core data sheet</t>
  </si>
  <si>
    <t>Calc: maximum period</t>
  </si>
  <si>
    <t>Spec: MAX13256 bridge resistance</t>
  </si>
  <si>
    <t xml:space="preserve">Enter: reduced current limit here if not using 1K Ohm for ITH pin
</t>
  </si>
  <si>
    <t>Derate: safety factor for peak flux density</t>
  </si>
  <si>
    <t>Derate: fill factor for winding gaps</t>
  </si>
  <si>
    <t>Derate: presume AC resistance of wires is 10% higher</t>
  </si>
  <si>
    <t>Constant</t>
  </si>
  <si>
    <t>Calc: ET constant</t>
  </si>
  <si>
    <t>Calc: minimum turns, first secondary</t>
  </si>
  <si>
    <t>Calc: minimum turns, second secondary</t>
  </si>
  <si>
    <t>Calc: minimum primary turns</t>
  </si>
  <si>
    <t>Enter</t>
  </si>
  <si>
    <t>Calc: primary referred current</t>
  </si>
  <si>
    <t>Calc: total current in all windings</t>
  </si>
  <si>
    <t>Calc: fraction of winding area for primary</t>
  </si>
  <si>
    <t>Calc: fraction for first secondary</t>
  </si>
  <si>
    <t>Calc: fraction for second secondary</t>
  </si>
  <si>
    <t>Calc: maximum wire area that fits</t>
  </si>
  <si>
    <t>Calc: conversion to wire gauge</t>
  </si>
  <si>
    <t>Enter: wire gauge to use</t>
  </si>
  <si>
    <t>Calc: wire areas based on user input</t>
  </si>
  <si>
    <t>Lookup: resistovity of the wires chosen</t>
  </si>
  <si>
    <t>Calc: DC resistance of the wires chosen</t>
  </si>
  <si>
    <t>Calc: core power loss</t>
  </si>
  <si>
    <t>Calc: primary inductance</t>
  </si>
  <si>
    <t>Calc: pk-pk of current ramp</t>
  </si>
  <si>
    <t>Calc: pk of current ramp</t>
  </si>
  <si>
    <t>Calc: RMS of current ramp</t>
  </si>
  <si>
    <t>Calc: voltage after swicth and primary R</t>
  </si>
  <si>
    <t>Calc: average current into primary</t>
  </si>
  <si>
    <t>Calc: includes magnetizing current</t>
  </si>
  <si>
    <t>Warning: must say "GOOD"</t>
  </si>
  <si>
    <t>Warning: make sure it says "GOOD"</t>
  </si>
  <si>
    <r>
      <rPr>
        <sz val="11"/>
        <color theme="1"/>
        <rFont val="Calibri"/>
        <family val="2"/>
      </rPr>
      <t>µ</t>
    </r>
    <r>
      <rPr>
        <sz val="11"/>
        <color theme="1"/>
        <rFont val="Calibri"/>
        <family val="2"/>
        <scheme val="minor"/>
      </rPr>
      <t xml:space="preserve"> Relative</t>
    </r>
  </si>
  <si>
    <t>Enter: minimum switching frequency</t>
  </si>
  <si>
    <r>
      <rPr>
        <sz val="11"/>
        <color theme="1"/>
        <rFont val="Calibri"/>
        <family val="2"/>
      </rPr>
      <t>µ</t>
    </r>
    <r>
      <rPr>
        <sz val="11"/>
        <color theme="1"/>
        <rFont val="Calibri"/>
        <family val="2"/>
        <scheme val="minor"/>
      </rPr>
      <t xml:space="preserve"> Free Space</t>
    </r>
  </si>
</sst>
</file>

<file path=xl/styles.xml><?xml version="1.0" encoding="utf-8"?>
<styleSheet xmlns="http://schemas.openxmlformats.org/spreadsheetml/2006/main">
  <numFmts count="10">
    <numFmt numFmtId="164" formatCode="0.000E+00"/>
    <numFmt numFmtId="165" formatCode="0.000"/>
    <numFmt numFmtId="166" formatCode="0.00000"/>
    <numFmt numFmtId="167" formatCode="&quot;GOOD&quot;;[Red]&quot;NOT ENOUGH TURNS&quot;;&quot;&quot;"/>
    <numFmt numFmtId="168" formatCode="0.0"/>
    <numFmt numFmtId="169" formatCode="0.000000"/>
    <numFmt numFmtId="170" formatCode="&quot;mm^2     GOOD&quot;;[Red]&quot;OVERSTUFFED&quot;;&quot;&quot;"/>
    <numFmt numFmtId="171" formatCode="0.0%"/>
    <numFmt numFmtId="172" formatCode="&quot;A rms    GOOD&quot;;[Red]&quot;PK CURRENT TOO HIGH&quot;;&quot;&quot;"/>
    <numFmt numFmtId="173" formatCode="&quot;A pk    GOOD&quot;;[Red]&quot;PK CURRENT TOO HIGH&quot;;&quot;&quot;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0" fillId="2" borderId="0" xfId="0" applyFill="1"/>
    <xf numFmtId="164" fontId="0" fillId="0" borderId="0" xfId="0" applyNumberFormat="1"/>
    <xf numFmtId="0" fontId="2" fillId="0" borderId="0" xfId="0" applyFont="1"/>
    <xf numFmtId="0" fontId="0" fillId="0" borderId="0" xfId="0" applyFont="1"/>
    <xf numFmtId="165" fontId="0" fillId="0" borderId="0" xfId="0" applyNumberFormat="1"/>
    <xf numFmtId="166" fontId="0" fillId="0" borderId="0" xfId="0" applyNumberFormat="1"/>
    <xf numFmtId="165" fontId="1" fillId="0" borderId="0" xfId="0" applyNumberFormat="1" applyFont="1"/>
    <xf numFmtId="166" fontId="1" fillId="0" borderId="0" xfId="0" applyNumberFormat="1" applyFont="1"/>
    <xf numFmtId="167" fontId="0" fillId="0" borderId="0" xfId="0" applyNumberFormat="1"/>
    <xf numFmtId="164" fontId="0" fillId="2" borderId="0" xfId="0" applyNumberFormat="1" applyFill="1"/>
    <xf numFmtId="0" fontId="0" fillId="2" borderId="0" xfId="0" applyNumberFormat="1" applyFill="1"/>
    <xf numFmtId="168" fontId="0" fillId="2" borderId="0" xfId="0" applyNumberFormat="1" applyFill="1"/>
    <xf numFmtId="170" fontId="0" fillId="0" borderId="0" xfId="0" applyNumberFormat="1" applyAlignment="1">
      <alignment horizontal="left"/>
    </xf>
    <xf numFmtId="165" fontId="3" fillId="0" borderId="0" xfId="0" applyNumberFormat="1" applyFont="1"/>
    <xf numFmtId="0" fontId="3" fillId="0" borderId="0" xfId="0" applyFont="1"/>
    <xf numFmtId="169" fontId="3" fillId="0" borderId="0" xfId="0" applyNumberFormat="1" applyFont="1"/>
    <xf numFmtId="172" fontId="0" fillId="0" borderId="0" xfId="0" applyNumberFormat="1" applyAlignment="1">
      <alignment horizontal="left"/>
    </xf>
    <xf numFmtId="169" fontId="4" fillId="0" borderId="0" xfId="0" applyNumberFormat="1" applyFont="1"/>
    <xf numFmtId="0" fontId="0" fillId="0" borderId="1" xfId="0" applyBorder="1"/>
    <xf numFmtId="166" fontId="0" fillId="0" borderId="1" xfId="0" applyNumberFormat="1" applyBorder="1"/>
    <xf numFmtId="0" fontId="6" fillId="0" borderId="0" xfId="0" applyFont="1"/>
    <xf numFmtId="169" fontId="0" fillId="2" borderId="0" xfId="0" applyNumberFormat="1" applyFill="1"/>
    <xf numFmtId="165" fontId="0" fillId="2" borderId="0" xfId="0" applyNumberFormat="1" applyFill="1"/>
    <xf numFmtId="165" fontId="0" fillId="2" borderId="0" xfId="0" applyNumberFormat="1" applyFont="1" applyFill="1"/>
    <xf numFmtId="165" fontId="0" fillId="3" borderId="0" xfId="0" applyNumberFormat="1" applyFill="1"/>
    <xf numFmtId="171" fontId="0" fillId="3" borderId="0" xfId="0" applyNumberFormat="1" applyFill="1"/>
    <xf numFmtId="165" fontId="5" fillId="3" borderId="0" xfId="0" applyNumberFormat="1" applyFont="1" applyFill="1"/>
    <xf numFmtId="0" fontId="0" fillId="0" borderId="0" xfId="0" applyFill="1"/>
    <xf numFmtId="0" fontId="0" fillId="0" borderId="0" xfId="0" applyAlignment="1"/>
    <xf numFmtId="0" fontId="1" fillId="0" borderId="0" xfId="0" applyFont="1" applyAlignment="1"/>
    <xf numFmtId="166" fontId="0" fillId="0" borderId="0" xfId="0" applyNumberFormat="1" applyAlignment="1"/>
    <xf numFmtId="165" fontId="0" fillId="0" borderId="0" xfId="0" applyNumberFormat="1" applyAlignment="1"/>
    <xf numFmtId="165" fontId="0" fillId="0" borderId="0" xfId="0" applyNumberFormat="1" applyBorder="1" applyAlignment="1"/>
    <xf numFmtId="166" fontId="0" fillId="0" borderId="1" xfId="0" applyNumberFormat="1" applyBorder="1" applyAlignment="1"/>
    <xf numFmtId="173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"/>
  <sheetViews>
    <sheetView tabSelected="1" workbookViewId="0">
      <selection activeCell="A3" sqref="A3"/>
    </sheetView>
  </sheetViews>
  <sheetFormatPr defaultRowHeight="15"/>
  <cols>
    <col min="1" max="1" width="11.42578125" customWidth="1"/>
    <col min="2" max="2" width="22.28515625" customWidth="1"/>
    <col min="3" max="3" width="14" customWidth="1"/>
    <col min="4" max="4" width="23" customWidth="1"/>
    <col min="5" max="5" width="10.42578125" style="30" customWidth="1"/>
    <col min="6" max="6" width="8.28515625" customWidth="1"/>
    <col min="7" max="7" width="10.28515625" customWidth="1"/>
    <col min="8" max="8" width="10.85546875" customWidth="1"/>
    <col min="9" max="9" width="1.42578125" customWidth="1"/>
    <col min="11" max="11" width="1.28515625" customWidth="1"/>
  </cols>
  <sheetData>
    <row r="1" spans="1:7">
      <c r="A1" s="22" t="s">
        <v>121</v>
      </c>
      <c r="G1" s="22" t="s">
        <v>0</v>
      </c>
    </row>
    <row r="2" spans="1:7">
      <c r="A2" s="1" t="s">
        <v>20</v>
      </c>
      <c r="B2" s="5" t="s">
        <v>1</v>
      </c>
      <c r="C2">
        <v>400</v>
      </c>
      <c r="D2" t="s">
        <v>2</v>
      </c>
      <c r="E2" s="30" t="s">
        <v>124</v>
      </c>
    </row>
    <row r="3" spans="1:7">
      <c r="A3" s="1"/>
      <c r="B3" t="s">
        <v>122</v>
      </c>
      <c r="C3" s="2">
        <f>Ferrite_Flux_Density*Const_Flux_Derating/1000</f>
        <v>0.28000000000000003</v>
      </c>
      <c r="D3" t="s">
        <v>28</v>
      </c>
      <c r="E3" s="30" t="s">
        <v>127</v>
      </c>
    </row>
    <row r="4" spans="1:7">
      <c r="A4" s="1"/>
      <c r="B4" t="s">
        <v>123</v>
      </c>
      <c r="C4">
        <v>7.4999999999999997E-2</v>
      </c>
      <c r="D4" t="s">
        <v>28</v>
      </c>
      <c r="E4" s="30" t="s">
        <v>125</v>
      </c>
    </row>
    <row r="5" spans="1:7">
      <c r="B5" s="5" t="s">
        <v>11</v>
      </c>
      <c r="C5">
        <v>350</v>
      </c>
      <c r="D5" t="s">
        <v>12</v>
      </c>
      <c r="E5" s="30" t="s">
        <v>126</v>
      </c>
    </row>
    <row r="6" spans="1:7">
      <c r="B6" t="s">
        <v>163</v>
      </c>
      <c r="C6">
        <v>1500</v>
      </c>
      <c r="E6" s="30" t="s">
        <v>128</v>
      </c>
    </row>
    <row r="7" spans="1:7">
      <c r="B7" s="1"/>
    </row>
    <row r="8" spans="1:7">
      <c r="A8" s="1" t="s">
        <v>21</v>
      </c>
      <c r="B8" s="5" t="s">
        <v>23</v>
      </c>
      <c r="C8">
        <v>14.9</v>
      </c>
      <c r="D8" t="s">
        <v>24</v>
      </c>
      <c r="E8" s="30" t="s">
        <v>129</v>
      </c>
    </row>
    <row r="9" spans="1:7">
      <c r="B9" s="5" t="s">
        <v>38</v>
      </c>
      <c r="C9">
        <v>23.4</v>
      </c>
      <c r="D9" t="s">
        <v>24</v>
      </c>
    </row>
    <row r="10" spans="1:7">
      <c r="B10" s="5" t="s">
        <v>51</v>
      </c>
      <c r="C10">
        <v>23.8</v>
      </c>
      <c r="D10" t="s">
        <v>52</v>
      </c>
    </row>
    <row r="11" spans="1:7">
      <c r="B11" s="5" t="s">
        <v>54</v>
      </c>
      <c r="C11">
        <v>24.2</v>
      </c>
      <c r="D11" t="s">
        <v>52</v>
      </c>
    </row>
    <row r="12" spans="1:7">
      <c r="B12" s="5" t="s">
        <v>58</v>
      </c>
      <c r="C12">
        <v>472</v>
      </c>
      <c r="D12" t="s">
        <v>59</v>
      </c>
    </row>
    <row r="13" spans="1:7">
      <c r="B13" s="1"/>
      <c r="F13" s="1" t="s">
        <v>61</v>
      </c>
    </row>
    <row r="14" spans="1:7">
      <c r="A14" s="1" t="s">
        <v>60</v>
      </c>
      <c r="B14" s="5" t="s">
        <v>3</v>
      </c>
      <c r="C14">
        <v>24</v>
      </c>
      <c r="D14" t="s">
        <v>4</v>
      </c>
      <c r="E14" s="30">
        <f>VnI_VIN/GCD(VnI_VIN,VnI_VOUT1_Target)</f>
        <v>8</v>
      </c>
      <c r="F14">
        <f>VnI_VIN/GCD(VnI_VIN,VnI_VOUT2_TARGET)</f>
        <v>24</v>
      </c>
      <c r="G14">
        <f>VnI_VIN/GCD(VnI_VIN,VnI_VOUT1_Target,VnI_VOUT2_TARGET)</f>
        <v>24</v>
      </c>
    </row>
    <row r="15" spans="1:7">
      <c r="A15" s="1" t="s">
        <v>10</v>
      </c>
      <c r="B15" s="5" t="s">
        <v>5</v>
      </c>
      <c r="C15">
        <v>9</v>
      </c>
      <c r="D15" t="s">
        <v>4</v>
      </c>
      <c r="E15" s="30">
        <f>VnI_VOUT1_Target/GCD(VnI_VIN,VnI_VOUT1_Target)</f>
        <v>3</v>
      </c>
      <c r="G15">
        <f>VnI_VOUT1_Target/GCD(VnI_VIN,VnI_VOUT1_Target,VnI_VOUT2_TARGET)</f>
        <v>9</v>
      </c>
    </row>
    <row r="16" spans="1:7">
      <c r="B16" s="5" t="s">
        <v>6</v>
      </c>
      <c r="C16">
        <v>0.7</v>
      </c>
      <c r="D16" t="s">
        <v>7</v>
      </c>
    </row>
    <row r="17" spans="1:7">
      <c r="A17" s="1" t="s">
        <v>10</v>
      </c>
      <c r="B17" s="5" t="s">
        <v>8</v>
      </c>
      <c r="C17">
        <v>5</v>
      </c>
      <c r="D17" t="s">
        <v>4</v>
      </c>
      <c r="F17">
        <f>VnI_VOUT2_TARGET/GCD(VnI_VIN,VnI_VOUT2_TARGET)</f>
        <v>5</v>
      </c>
      <c r="G17">
        <f>VnI_VOUT2_TARGET/GCD(VnI_VIN,VnI_VOUT1_Target,VnI_VOUT2_TARGET)</f>
        <v>5</v>
      </c>
    </row>
    <row r="18" spans="1:7">
      <c r="B18" s="5" t="s">
        <v>9</v>
      </c>
      <c r="C18">
        <v>0.4</v>
      </c>
      <c r="D18" t="s">
        <v>7</v>
      </c>
    </row>
    <row r="20" spans="1:7">
      <c r="A20" s="1" t="s">
        <v>14</v>
      </c>
      <c r="B20" s="5" t="s">
        <v>15</v>
      </c>
      <c r="C20" s="29">
        <v>510</v>
      </c>
      <c r="D20" t="s">
        <v>16</v>
      </c>
      <c r="E20" s="30" t="s">
        <v>164</v>
      </c>
    </row>
    <row r="21" spans="1:7">
      <c r="C21" s="2">
        <f>1/(1000*Const_Min_OSC)</f>
        <v>1.9607843137254902E-6</v>
      </c>
      <c r="D21" t="s">
        <v>17</v>
      </c>
      <c r="E21" s="30" t="s">
        <v>130</v>
      </c>
    </row>
    <row r="22" spans="1:7">
      <c r="B22" s="5" t="s">
        <v>85</v>
      </c>
      <c r="C22" s="29">
        <v>1.6</v>
      </c>
      <c r="D22" t="s">
        <v>86</v>
      </c>
      <c r="E22" s="30" t="s">
        <v>131</v>
      </c>
    </row>
    <row r="23" spans="1:7">
      <c r="B23" s="5" t="s">
        <v>89</v>
      </c>
      <c r="C23" s="29">
        <v>0.5</v>
      </c>
      <c r="D23" t="s">
        <v>7</v>
      </c>
      <c r="E23" s="30" t="s">
        <v>132</v>
      </c>
    </row>
    <row r="24" spans="1:7">
      <c r="B24" s="5" t="s">
        <v>19</v>
      </c>
      <c r="C24" s="2">
        <v>0.7</v>
      </c>
      <c r="E24" s="30" t="s">
        <v>133</v>
      </c>
    </row>
    <row r="25" spans="1:7">
      <c r="B25" s="5" t="s">
        <v>34</v>
      </c>
      <c r="C25" s="2">
        <v>0.43</v>
      </c>
      <c r="E25" s="30" t="s">
        <v>134</v>
      </c>
    </row>
    <row r="26" spans="1:7">
      <c r="B26" t="s">
        <v>119</v>
      </c>
      <c r="C26" s="2">
        <v>1.1000000000000001</v>
      </c>
      <c r="E26" s="30" t="s">
        <v>135</v>
      </c>
    </row>
    <row r="27" spans="1:7">
      <c r="B27" t="s">
        <v>165</v>
      </c>
      <c r="C27" s="2">
        <f>4*3.14159*0.0000001</f>
        <v>1.2566359999999999E-6</v>
      </c>
      <c r="D27" t="s">
        <v>53</v>
      </c>
      <c r="E27" s="30" t="s">
        <v>136</v>
      </c>
    </row>
    <row r="29" spans="1:7">
      <c r="A29" s="1" t="s">
        <v>13</v>
      </c>
      <c r="B29" s="5" t="s">
        <v>18</v>
      </c>
      <c r="C29" s="2">
        <f>VnI_VIN*Const_Max_Period</f>
        <v>4.7058823529411761E-5</v>
      </c>
      <c r="D29" t="s">
        <v>68</v>
      </c>
      <c r="E29" s="30" t="s">
        <v>137</v>
      </c>
    </row>
    <row r="30" spans="1:7">
      <c r="A30" s="1" t="s">
        <v>10</v>
      </c>
      <c r="B30" s="5" t="s">
        <v>22</v>
      </c>
      <c r="C30" s="2">
        <f>Calcs_ET_Product/(2*Actual_Flux_Density*Core_Area_Ferrite*0.000001)</f>
        <v>21.055402026582446</v>
      </c>
      <c r="E30" s="30" t="s">
        <v>140</v>
      </c>
    </row>
    <row r="31" spans="1:7">
      <c r="A31" s="1" t="s">
        <v>10</v>
      </c>
      <c r="B31" s="5" t="s">
        <v>26</v>
      </c>
      <c r="C31" s="2">
        <f>Calcs_Targ_Turns_Pri*VnI_VOUT1_Target/VnI_VIN</f>
        <v>7.8957757599684166</v>
      </c>
      <c r="E31" s="30" t="s">
        <v>138</v>
      </c>
    </row>
    <row r="32" spans="1:7">
      <c r="A32" s="1" t="s">
        <v>10</v>
      </c>
      <c r="B32" s="5" t="s">
        <v>25</v>
      </c>
      <c r="C32" s="2">
        <f>Calcs_Targ_Turns_Pri*VnI_VOUT2_TARGET/VnI_VIN</f>
        <v>4.3865420888713427</v>
      </c>
      <c r="E32" s="30" t="s">
        <v>139</v>
      </c>
    </row>
    <row r="34" spans="1:6">
      <c r="A34" s="1" t="s">
        <v>66</v>
      </c>
      <c r="C34" s="4" t="s">
        <v>62</v>
      </c>
    </row>
    <row r="35" spans="1:6">
      <c r="A35" s="1" t="s">
        <v>27</v>
      </c>
      <c r="B35" t="s">
        <v>22</v>
      </c>
      <c r="C35">
        <v>22</v>
      </c>
      <c r="D35" s="10">
        <f>IF(User_Turns_Pri&gt;=Calcs_Targ_Turns_Pri,1,-1)</f>
        <v>1</v>
      </c>
      <c r="F35" t="s">
        <v>141</v>
      </c>
    </row>
    <row r="36" spans="1:6">
      <c r="A36" s="1" t="s">
        <v>27</v>
      </c>
      <c r="B36" t="s">
        <v>26</v>
      </c>
      <c r="C36">
        <v>10</v>
      </c>
      <c r="D36" s="10">
        <f>IF(User_Turns_Sec1&gt;=Calcs_Targ_Turns_Sec1,1,-1)</f>
        <v>1</v>
      </c>
      <c r="F36" t="s">
        <v>141</v>
      </c>
    </row>
    <row r="37" spans="1:6">
      <c r="A37" s="1" t="s">
        <v>27</v>
      </c>
      <c r="B37" t="s">
        <v>25</v>
      </c>
      <c r="C37">
        <v>6</v>
      </c>
      <c r="D37" s="10">
        <f>IF(User_Turns_Sec2&gt;=Calcs_Targ_Turns_Sec2,1,-1)</f>
        <v>1</v>
      </c>
      <c r="F37" t="s">
        <v>141</v>
      </c>
    </row>
    <row r="38" spans="1:6">
      <c r="A38" s="1"/>
    </row>
    <row r="39" spans="1:6">
      <c r="A39" s="1"/>
    </row>
    <row r="40" spans="1:6">
      <c r="A40" s="1" t="s">
        <v>67</v>
      </c>
      <c r="B40" t="s">
        <v>31</v>
      </c>
      <c r="C40" s="24">
        <f>(VnI_IOUT1*User_Turns_Sec1/User_Turns_Pri)+(VnI_IOUT2*User_Turns_Sec2/User_Turns_Pri)</f>
        <v>0.4272727272727273</v>
      </c>
      <c r="D40" t="s">
        <v>7</v>
      </c>
      <c r="E40" s="30" t="s">
        <v>142</v>
      </c>
    </row>
    <row r="41" spans="1:6">
      <c r="A41" s="1" t="s">
        <v>27</v>
      </c>
      <c r="B41" t="s">
        <v>29</v>
      </c>
      <c r="C41" s="24">
        <f>2*Window_I_Pri</f>
        <v>0.85454545454545461</v>
      </c>
      <c r="D41" t="s">
        <v>7</v>
      </c>
      <c r="E41" s="30" t="s">
        <v>143</v>
      </c>
    </row>
    <row r="42" spans="1:6">
      <c r="A42" s="1" t="s">
        <v>27</v>
      </c>
      <c r="B42" t="s">
        <v>30</v>
      </c>
      <c r="C42" s="24">
        <f>Window_I_Pri/Wind_I_Total</f>
        <v>0.5</v>
      </c>
      <c r="E42" s="30" t="s">
        <v>144</v>
      </c>
    </row>
    <row r="43" spans="1:6">
      <c r="A43" s="1" t="s">
        <v>27</v>
      </c>
      <c r="B43" t="s">
        <v>32</v>
      </c>
      <c r="C43" s="24">
        <f>(VnI_IOUT1/Wind_I_Total)*(User_Turns_Sec1/User_Turns_Pri)</f>
        <v>0.37234042553191482</v>
      </c>
      <c r="E43" s="30" t="s">
        <v>145</v>
      </c>
    </row>
    <row r="44" spans="1:6">
      <c r="A44" s="1" t="s">
        <v>27</v>
      </c>
      <c r="B44" t="s">
        <v>33</v>
      </c>
      <c r="C44" s="24">
        <f>(VnI_IOUT2/Wind_I_Total)*(User_Turns_Sec2/User_Turns_Pri)</f>
        <v>0.1276595744680851</v>
      </c>
      <c r="E44" s="30" t="s">
        <v>146</v>
      </c>
    </row>
    <row r="47" spans="1:6">
      <c r="A47" s="1" t="s">
        <v>10</v>
      </c>
      <c r="B47" t="s">
        <v>63</v>
      </c>
      <c r="C47" s="11">
        <f>Wind_Frac_Pri*Const_Wind_Fill_Fac*Core_Area_Window/User_Turns_Pri</f>
        <v>0.22868181818181818</v>
      </c>
      <c r="D47" t="s">
        <v>24</v>
      </c>
      <c r="E47" s="30" t="s">
        <v>147</v>
      </c>
    </row>
    <row r="48" spans="1:6">
      <c r="B48" t="s">
        <v>64</v>
      </c>
      <c r="C48" s="11">
        <f>Wind_Frac_Sec1*Const_Wind_Fill_Fac*Core_Area_Window/User_Turns_Sec1</f>
        <v>0.37464893617021267</v>
      </c>
      <c r="D48" t="s">
        <v>24</v>
      </c>
    </row>
    <row r="49" spans="1:5">
      <c r="B49" t="s">
        <v>65</v>
      </c>
      <c r="C49" s="11">
        <f>Wind_Frac_Sec2*Const_Wind_Fill_Fac*Core_Area_Window/User_Turns_Sec2</f>
        <v>0.2140851063829787</v>
      </c>
      <c r="D49" t="s">
        <v>24</v>
      </c>
    </row>
    <row r="51" spans="1:5">
      <c r="A51" s="1" t="s">
        <v>78</v>
      </c>
      <c r="B51" t="s">
        <v>39</v>
      </c>
      <c r="C51" s="12">
        <f ca="1">OFFSET(AWG_Wire_Top,MATCH(Wind_Wire_Area_Pri,AWG_Wire_Area,1)-1,-2)</f>
        <v>24</v>
      </c>
      <c r="E51" s="30" t="s">
        <v>148</v>
      </c>
    </row>
    <row r="52" spans="1:5">
      <c r="C52" s="11">
        <f ca="1">OFFSET(AWG_Wire_Top,MATCH(Wind_Wire_Area_Pri,AWG_Wire_Area,1)-1,0)</f>
        <v>0.20508395382450512</v>
      </c>
      <c r="D52" t="s">
        <v>24</v>
      </c>
    </row>
    <row r="53" spans="1:5">
      <c r="B53" t="s">
        <v>40</v>
      </c>
      <c r="C53" s="12">
        <f ca="1">OFFSET(AWG_Wire_Top,MATCH(Wind_Wire_Area_Sec1,AWG_Wire_Area,1)-1,-2)</f>
        <v>22</v>
      </c>
    </row>
    <row r="54" spans="1:5">
      <c r="C54" s="11">
        <f ca="1">OFFSET(AWG_Wire_Top,MATCH(Wind_Wire_Area_Sec1,AWG_Wire_Area,1)-1,0)</f>
        <v>0.3257328926948041</v>
      </c>
      <c r="D54" t="s">
        <v>24</v>
      </c>
    </row>
    <row r="55" spans="1:5">
      <c r="B55" t="s">
        <v>79</v>
      </c>
      <c r="C55" s="12">
        <f ca="1">OFFSET(AWG_Wire_Top,MATCH(Wind_Wire_Area_Sec2,AWG_Wire_Area,1)-1,-2)</f>
        <v>24</v>
      </c>
    </row>
    <row r="56" spans="1:5">
      <c r="C56" s="11">
        <f ca="1">OFFSET(AWG_Wire_Top,MATCH(Wind_Wire_Area_Sec2,AWG_Wire_Area,1)-1,0)</f>
        <v>0.20508395382450512</v>
      </c>
      <c r="D56" t="s">
        <v>24</v>
      </c>
    </row>
    <row r="58" spans="1:5">
      <c r="C58" s="4" t="s">
        <v>62</v>
      </c>
    </row>
    <row r="59" spans="1:5">
      <c r="A59" s="1" t="s">
        <v>80</v>
      </c>
      <c r="B59" t="s">
        <v>39</v>
      </c>
      <c r="C59">
        <v>24</v>
      </c>
      <c r="E59" s="30" t="s">
        <v>149</v>
      </c>
    </row>
    <row r="60" spans="1:5">
      <c r="B60" t="s">
        <v>40</v>
      </c>
      <c r="C60">
        <v>22</v>
      </c>
    </row>
    <row r="61" spans="1:5">
      <c r="B61" t="s">
        <v>41</v>
      </c>
      <c r="C61">
        <v>24</v>
      </c>
    </row>
    <row r="63" spans="1:5">
      <c r="A63" s="1" t="s">
        <v>27</v>
      </c>
      <c r="B63" t="s">
        <v>35</v>
      </c>
      <c r="C63" s="11">
        <f>VLOOKUP(User_Gauge_Pri,AWG_Table,3,FALSE)</f>
        <v>0.20508395382450512</v>
      </c>
      <c r="D63" t="s">
        <v>24</v>
      </c>
      <c r="E63" s="30" t="s">
        <v>150</v>
      </c>
    </row>
    <row r="64" spans="1:5">
      <c r="B64" t="s">
        <v>36</v>
      </c>
      <c r="C64" s="11">
        <f>VLOOKUP(User_Gauge_Sec,AWG_Table,3,FALSE)</f>
        <v>0.3257328926948041</v>
      </c>
      <c r="D64" t="s">
        <v>24</v>
      </c>
    </row>
    <row r="65" spans="1:5">
      <c r="B65" t="s">
        <v>37</v>
      </c>
      <c r="C65" s="11">
        <f>VLOOKUP(User_Gauge_Sec2,AWG_Table,3,FALSE)</f>
        <v>0.20508395382450512</v>
      </c>
      <c r="D65" t="s">
        <v>24</v>
      </c>
    </row>
    <row r="66" spans="1:5">
      <c r="B66" t="s">
        <v>81</v>
      </c>
      <c r="C66" s="13">
        <f>((User_Turns_Pri*User_Wire_Area_Pri)+(User_Turns_Sec1*User_Wire_Area_Sec1)+(User_Turns_Sec2*User_Wire_Area_Sec2))/Const_Wind_Fill_Fac</f>
        <v>20.92948752100973</v>
      </c>
      <c r="D66" s="14">
        <f>IF(User_Window_Total&lt;=Core_Area_Window,1,-1)</f>
        <v>1</v>
      </c>
      <c r="E66" s="30" t="s">
        <v>162</v>
      </c>
    </row>
    <row r="68" spans="1:5">
      <c r="B68" t="s">
        <v>42</v>
      </c>
      <c r="C68" s="11">
        <f>VLOOKUP(User_Gauge_Pri,AWG_Table,4,FALSE)</f>
        <v>8.4063134528567998E-5</v>
      </c>
      <c r="D68" t="s">
        <v>82</v>
      </c>
      <c r="E68" s="30" t="s">
        <v>151</v>
      </c>
    </row>
    <row r="69" spans="1:5">
      <c r="B69" t="s">
        <v>43</v>
      </c>
      <c r="C69" s="11">
        <f>VLOOKUP(User_Gauge_Sec,AWG_Table,4,FALSE)</f>
        <v>5.2926801028206393E-5</v>
      </c>
      <c r="D69" t="s">
        <v>82</v>
      </c>
    </row>
    <row r="70" spans="1:5">
      <c r="B70" t="s">
        <v>44</v>
      </c>
      <c r="C70" s="11">
        <f>VLOOKUP(User_Gauge_Sec2,AWG_Table,4,FALSE)</f>
        <v>8.4063134528567998E-5</v>
      </c>
      <c r="D70" t="s">
        <v>82</v>
      </c>
    </row>
    <row r="72" spans="1:5">
      <c r="B72" t="s">
        <v>45</v>
      </c>
      <c r="C72" s="11">
        <f>User_DCR_per_Turn_Pri*User_Turns_Pri*Core_Mean_Length_per_Turn</f>
        <v>4.4015457239158208E-2</v>
      </c>
      <c r="D72" t="s">
        <v>50</v>
      </c>
      <c r="E72" s="30" t="s">
        <v>152</v>
      </c>
    </row>
    <row r="73" spans="1:5">
      <c r="B73" t="s">
        <v>46</v>
      </c>
      <c r="C73" s="11">
        <f>DCR_DCR_per_Turn_Sec1*User_Turns_Sec1*Core_Mean_Length_per_Turn</f>
        <v>1.259657864471312E-2</v>
      </c>
      <c r="D73" t="s">
        <v>50</v>
      </c>
    </row>
    <row r="74" spans="1:5">
      <c r="B74" t="s">
        <v>47</v>
      </c>
      <c r="C74" s="11">
        <f>USER_DCR_per_Turn_Sec2*User_Turns_Sec2*Core_Mean_Length_per_Turn</f>
        <v>1.2004215610679513E-2</v>
      </c>
      <c r="D74" t="s">
        <v>50</v>
      </c>
    </row>
    <row r="76" spans="1:5">
      <c r="A76" s="1" t="s">
        <v>83</v>
      </c>
      <c r="B76" t="s">
        <v>11</v>
      </c>
      <c r="C76" s="2">
        <f>(Ferrite_Core_Loss/1000000)*Core_Effective_Volume</f>
        <v>0.16519999999999999</v>
      </c>
      <c r="D76" t="s">
        <v>84</v>
      </c>
      <c r="E76" s="30" t="s">
        <v>153</v>
      </c>
    </row>
    <row r="77" spans="1:5">
      <c r="B77" t="s">
        <v>48</v>
      </c>
      <c r="C77" s="23">
        <f>Const_Mu_0*Ferrite_Mu_Rel*0.001*User_Turns_Pri*User_Turns_Pri*Core_Area_Ferrite/Core_Effective_Length</f>
        <v>5.61716292E-4</v>
      </c>
      <c r="D77" t="s">
        <v>57</v>
      </c>
      <c r="E77" s="30" t="s">
        <v>154</v>
      </c>
    </row>
    <row r="78" spans="1:5">
      <c r="B78" t="s">
        <v>55</v>
      </c>
      <c r="C78" s="24">
        <f>Calcs_ET_Product/Losses_IMag</f>
        <v>8.3776853546223579E-2</v>
      </c>
      <c r="D78" t="s">
        <v>103</v>
      </c>
      <c r="E78" s="30" t="s">
        <v>155</v>
      </c>
    </row>
    <row r="79" spans="1:5">
      <c r="B79" t="s">
        <v>49</v>
      </c>
      <c r="C79" s="24">
        <f>Losses_OCL_pp/2</f>
        <v>4.1888426773111789E-2</v>
      </c>
      <c r="D79" t="s">
        <v>120</v>
      </c>
      <c r="E79" s="30" t="s">
        <v>156</v>
      </c>
    </row>
    <row r="80" spans="1:5">
      <c r="B80" t="s">
        <v>56</v>
      </c>
      <c r="C80" s="24">
        <f>Losses_OCL_pk/SQRT(3)</f>
        <v>2.418429447338602E-2</v>
      </c>
      <c r="D80" t="s">
        <v>102</v>
      </c>
      <c r="E80" s="30" t="s">
        <v>157</v>
      </c>
    </row>
    <row r="81" spans="1:8">
      <c r="B81" t="s">
        <v>116</v>
      </c>
      <c r="C81" s="24">
        <f>VnI_VIN-((Const_MAX13256_R+User_DCR_Pri)*Const_AC_Corr*Window_I_Pri)</f>
        <v>23.227312735097595</v>
      </c>
    </row>
    <row r="82" spans="1:8">
      <c r="B82" t="s">
        <v>117</v>
      </c>
      <c r="C82" s="24">
        <f>Losses_Core_Loss*(Const_MAX13256_R+User_DCR_Pri)*Const_AC_Corr</f>
        <v>0.29875048888949984</v>
      </c>
    </row>
    <row r="83" spans="1:8">
      <c r="B83" t="s">
        <v>118</v>
      </c>
      <c r="C83" s="24">
        <f>(Losses_b+SQRT((Losses_b*Losses_b)-(4*Losses_c)))/2</f>
        <v>23.214443570778464</v>
      </c>
      <c r="D83" t="s">
        <v>4</v>
      </c>
      <c r="E83" s="30" t="s">
        <v>158</v>
      </c>
    </row>
    <row r="84" spans="1:8">
      <c r="B84" t="s">
        <v>111</v>
      </c>
      <c r="C84" s="24">
        <f>(VnI_VIN-Losses_V_at_PRI)/((Const_MAX13256_R+User_DCR_Pri)*Const_AC_Corr)</f>
        <v>0.4343889865746724</v>
      </c>
      <c r="D84" t="s">
        <v>112</v>
      </c>
      <c r="E84" s="30" t="s">
        <v>159</v>
      </c>
    </row>
    <row r="85" spans="1:8">
      <c r="B85" t="s">
        <v>87</v>
      </c>
      <c r="C85" s="24">
        <f>SQRT((Losses_IC_DC_I*Losses_IC_DC_I)+(Losses_OCL_rms*Losses_OCL_rms))</f>
        <v>0.43506168730025674</v>
      </c>
      <c r="D85" t="s">
        <v>102</v>
      </c>
      <c r="E85" s="30" t="s">
        <v>160</v>
      </c>
    </row>
    <row r="86" spans="1:8">
      <c r="B86" t="s">
        <v>88</v>
      </c>
      <c r="C86" s="25">
        <f>Losses_IC_DC_I+Losses_OCL_pk</f>
        <v>0.47627741334778417</v>
      </c>
      <c r="D86" s="36">
        <f>IF(C86&lt;=Const_MAX13256_ILim,1,-1)</f>
        <v>1</v>
      </c>
      <c r="E86" s="30" t="s">
        <v>161</v>
      </c>
    </row>
    <row r="87" spans="1:8">
      <c r="C87" s="6"/>
      <c r="D87" s="18"/>
    </row>
    <row r="88" spans="1:8">
      <c r="E88" s="31" t="s">
        <v>15</v>
      </c>
      <c r="F88" s="1" t="s">
        <v>110</v>
      </c>
      <c r="G88" s="1" t="s">
        <v>113</v>
      </c>
    </row>
    <row r="89" spans="1:8">
      <c r="A89" s="1" t="s">
        <v>90</v>
      </c>
      <c r="B89" t="s">
        <v>104</v>
      </c>
      <c r="C89" s="24">
        <f>VnI_VIN</f>
        <v>24</v>
      </c>
      <c r="D89" t="s">
        <v>4</v>
      </c>
    </row>
    <row r="90" spans="1:8">
      <c r="B90" t="s">
        <v>105</v>
      </c>
      <c r="C90" s="24">
        <f>Losses_IC_DC_I*Const_MAX13256_R</f>
        <v>0.6950223785194759</v>
      </c>
      <c r="D90" t="s">
        <v>4</v>
      </c>
      <c r="E90" s="32">
        <f>(C90*Losses_IC_RMS_I)+(VnI_VIN*0.006)</f>
        <v>0.44637760871012094</v>
      </c>
      <c r="F90" s="6"/>
      <c r="H90" s="19"/>
    </row>
    <row r="91" spans="1:8">
      <c r="B91" t="s">
        <v>106</v>
      </c>
      <c r="C91" s="24">
        <f>C89-C90</f>
        <v>23.304977621480525</v>
      </c>
      <c r="D91" t="s">
        <v>4</v>
      </c>
      <c r="E91" s="33"/>
    </row>
    <row r="92" spans="1:8">
      <c r="B92" t="s">
        <v>114</v>
      </c>
      <c r="C92" s="24">
        <f>User_DCR_Pri*Const_AC_Corr*Losses_IC_DC_I</f>
        <v>2.103181285011264E-2</v>
      </c>
      <c r="D92" t="s">
        <v>4</v>
      </c>
      <c r="E92" s="33"/>
      <c r="F92" s="7">
        <f>C92*Losses_IC_RMS_I</f>
        <v>9.1501359855532278E-3</v>
      </c>
    </row>
    <row r="93" spans="1:8">
      <c r="B93" t="s">
        <v>115</v>
      </c>
      <c r="C93" s="24">
        <f>C91-C92</f>
        <v>23.283945808630413</v>
      </c>
      <c r="D93" t="s">
        <v>4</v>
      </c>
      <c r="E93" s="33"/>
    </row>
    <row r="94" spans="1:8">
      <c r="B94" t="s">
        <v>11</v>
      </c>
      <c r="C94" s="6"/>
      <c r="E94" s="34"/>
      <c r="F94">
        <f>Losses_Core_Loss</f>
        <v>0.16519999999999999</v>
      </c>
    </row>
    <row r="95" spans="1:8">
      <c r="C95" s="6"/>
      <c r="E95" s="33"/>
    </row>
    <row r="96" spans="1:8">
      <c r="B96" t="s">
        <v>91</v>
      </c>
      <c r="C96" s="24">
        <f>C93*User_Turns_Sec1/User_Turns_Pri</f>
        <v>10.583611731195644</v>
      </c>
      <c r="D96" t="s">
        <v>4</v>
      </c>
    </row>
    <row r="97" spans="1:8">
      <c r="B97" t="s">
        <v>107</v>
      </c>
      <c r="C97" s="24">
        <f>VnI_IOUT1*User_DCR_Sec1*Const_AC_Corr</f>
        <v>9.6993655564291022E-3</v>
      </c>
      <c r="D97" t="s">
        <v>4</v>
      </c>
      <c r="F97">
        <f>User_DCR_Sec1*Const_AC_Corr*(VnI_IOUT1*Losses_IC_RMS_I/Window_I_Pri)^2</f>
        <v>7.0393523128274094E-3</v>
      </c>
    </row>
    <row r="98" spans="1:8">
      <c r="B98" t="s">
        <v>108</v>
      </c>
      <c r="C98" s="29">
        <v>0.9</v>
      </c>
      <c r="D98" t="s">
        <v>4</v>
      </c>
      <c r="G98">
        <f>C98*VnI_IOUT1</f>
        <v>0.63</v>
      </c>
    </row>
    <row r="99" spans="1:8">
      <c r="B99" t="s">
        <v>92</v>
      </c>
      <c r="C99" s="28">
        <f>C96-C97-C98</f>
        <v>9.6739123656392145</v>
      </c>
      <c r="D99" t="s">
        <v>4</v>
      </c>
    </row>
    <row r="100" spans="1:8">
      <c r="C100" s="15"/>
    </row>
    <row r="101" spans="1:8">
      <c r="B101" t="s">
        <v>93</v>
      </c>
      <c r="C101" s="24">
        <f>C93*User_Turns_Sec2/User_Turns_Pri</f>
        <v>6.3501670387173847</v>
      </c>
      <c r="D101" t="s">
        <v>4</v>
      </c>
    </row>
    <row r="102" spans="1:8">
      <c r="B102" t="s">
        <v>109</v>
      </c>
      <c r="C102" s="24">
        <f>VnI_IOUT2*User_DCR_Sec2*Const_AC_Corr</f>
        <v>5.2818548686989859E-3</v>
      </c>
      <c r="D102" t="s">
        <v>4</v>
      </c>
      <c r="F102">
        <f>User_DCR_Sec2*Const_AC_Corr*(VnI_IOUT2*Losses_IC_RMS_I/Window_I_Pri)^2</f>
        <v>2.190472419175033E-3</v>
      </c>
    </row>
    <row r="103" spans="1:8">
      <c r="B103" t="s">
        <v>94</v>
      </c>
      <c r="C103" s="29">
        <v>0.9</v>
      </c>
      <c r="D103" t="s">
        <v>4</v>
      </c>
      <c r="G103">
        <f>C103*VnI_IOUT2</f>
        <v>0.36000000000000004</v>
      </c>
    </row>
    <row r="104" spans="1:8">
      <c r="B104" t="s">
        <v>95</v>
      </c>
      <c r="C104" s="28">
        <f>C101-C102-C103</f>
        <v>5.4448851838486858</v>
      </c>
      <c r="D104" t="s">
        <v>4</v>
      </c>
      <c r="H104" s="17"/>
    </row>
    <row r="105" spans="1:8">
      <c r="E105" s="35">
        <f>E90</f>
        <v>0.44637760871012094</v>
      </c>
      <c r="F105" s="21">
        <f>F92+F94+F97+F102</f>
        <v>0.18357996071755564</v>
      </c>
      <c r="G105" s="20">
        <f>G98+G103</f>
        <v>0.99</v>
      </c>
      <c r="H105" s="16"/>
    </row>
    <row r="106" spans="1:8">
      <c r="A106" s="1" t="s">
        <v>96</v>
      </c>
      <c r="B106" t="s">
        <v>97</v>
      </c>
      <c r="C106" s="26">
        <f>C99*VnI_IOUT1</f>
        <v>6.7717386559474502</v>
      </c>
      <c r="D106" t="s">
        <v>84</v>
      </c>
    </row>
    <row r="107" spans="1:8">
      <c r="B107" t="s">
        <v>98</v>
      </c>
      <c r="C107" s="26">
        <f>C104*VnI_IOUT2</f>
        <v>2.1779540735394742</v>
      </c>
      <c r="D107" t="s">
        <v>84</v>
      </c>
      <c r="F107" s="7"/>
    </row>
    <row r="108" spans="1:8">
      <c r="B108" t="s">
        <v>99</v>
      </c>
      <c r="C108" s="26">
        <f>C106+C107</f>
        <v>8.9496927294869248</v>
      </c>
      <c r="D108" t="s">
        <v>84</v>
      </c>
    </row>
    <row r="109" spans="1:8">
      <c r="B109" t="s">
        <v>101</v>
      </c>
      <c r="C109" s="26">
        <f>E105+F105+G105</f>
        <v>1.6199575694276764</v>
      </c>
      <c r="D109" t="s">
        <v>84</v>
      </c>
    </row>
    <row r="110" spans="1:8">
      <c r="B110" t="s">
        <v>100</v>
      </c>
      <c r="C110" s="26">
        <f>C108+C109</f>
        <v>10.569650298914601</v>
      </c>
      <c r="D110" t="s">
        <v>84</v>
      </c>
    </row>
    <row r="111" spans="1:8">
      <c r="B111" t="s">
        <v>96</v>
      </c>
      <c r="C111" s="27">
        <f>C108/C110</f>
        <v>0.84673498899069255</v>
      </c>
    </row>
  </sheetData>
  <pageMargins left="0.7" right="0.7" top="0.75" bottom="0.75" header="0.3" footer="0.3"/>
  <pageSetup orientation="portrait" r:id="rId1"/>
  <ignoredErrors>
    <ignoredError sqref="C109 C92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2:E47"/>
  <sheetViews>
    <sheetView workbookViewId="0"/>
  </sheetViews>
  <sheetFormatPr defaultRowHeight="15"/>
  <cols>
    <col min="1" max="1" width="10.7109375" customWidth="1"/>
    <col min="3" max="3" width="10.7109375" style="6" customWidth="1"/>
    <col min="4" max="4" width="11.28515625" style="7" customWidth="1"/>
    <col min="5" max="5" width="11.42578125" customWidth="1"/>
  </cols>
  <sheetData>
    <row r="2" spans="1:5">
      <c r="A2" t="s">
        <v>71</v>
      </c>
      <c r="B2" t="s">
        <v>72</v>
      </c>
      <c r="C2" s="3">
        <v>1.7240000000000001E-5</v>
      </c>
      <c r="D2" s="7" t="s">
        <v>74</v>
      </c>
    </row>
    <row r="3" spans="1:5">
      <c r="B3" t="s">
        <v>73</v>
      </c>
      <c r="C3" s="3">
        <v>2.3E-5</v>
      </c>
      <c r="D3" s="7" t="s">
        <v>74</v>
      </c>
    </row>
    <row r="4" spans="1:5">
      <c r="E4" t="s">
        <v>77</v>
      </c>
    </row>
    <row r="5" spans="1:5">
      <c r="B5" s="1" t="s">
        <v>69</v>
      </c>
      <c r="C5" s="8" t="s">
        <v>70</v>
      </c>
      <c r="D5" s="9" t="s">
        <v>75</v>
      </c>
      <c r="E5" s="1" t="s">
        <v>76</v>
      </c>
    </row>
    <row r="6" spans="1:5">
      <c r="B6" s="1"/>
      <c r="C6" s="8" t="s">
        <v>52</v>
      </c>
      <c r="D6" s="9" t="s">
        <v>24</v>
      </c>
      <c r="E6" s="1"/>
    </row>
    <row r="7" spans="1:5">
      <c r="B7">
        <v>40</v>
      </c>
      <c r="C7" s="6">
        <v>7.9899999999999999E-2</v>
      </c>
      <c r="D7" s="7">
        <f t="shared" ref="D7:D47" si="0">0.25*PI()*C7*C7</f>
        <v>5.0139897291109443E-3</v>
      </c>
      <c r="E7" s="3">
        <f t="shared" ref="E7:E47" si="1">$C$2/D7</f>
        <v>3.4383796001626258E-3</v>
      </c>
    </row>
    <row r="8" spans="1:5">
      <c r="B8">
        <v>39</v>
      </c>
      <c r="C8" s="6">
        <v>8.9700000000000002E-2</v>
      </c>
      <c r="D8" s="7">
        <f t="shared" si="0"/>
        <v>6.3193843085305752E-3</v>
      </c>
      <c r="E8" s="3">
        <f t="shared" si="1"/>
        <v>2.7281138728542939E-3</v>
      </c>
    </row>
    <row r="9" spans="1:5">
      <c r="B9">
        <v>38</v>
      </c>
      <c r="C9" s="6">
        <v>0.10100000000000001</v>
      </c>
      <c r="D9" s="7">
        <f t="shared" si="0"/>
        <v>8.0118466648173708E-3</v>
      </c>
      <c r="E9" s="3">
        <f t="shared" si="1"/>
        <v>2.1518135233049903E-3</v>
      </c>
    </row>
    <row r="10" spans="1:5">
      <c r="B10">
        <v>37</v>
      </c>
      <c r="C10" s="6">
        <v>0.113</v>
      </c>
      <c r="D10" s="7">
        <f t="shared" si="0"/>
        <v>1.0028749148422018E-2</v>
      </c>
      <c r="E10" s="3">
        <f t="shared" si="1"/>
        <v>1.7190578550578906E-3</v>
      </c>
    </row>
    <row r="11" spans="1:5">
      <c r="B11">
        <v>36</v>
      </c>
      <c r="C11" s="6">
        <v>0.127</v>
      </c>
      <c r="D11" s="7">
        <f t="shared" si="0"/>
        <v>1.2667686977437443E-2</v>
      </c>
      <c r="E11" s="3">
        <f t="shared" si="1"/>
        <v>1.3609430064625337E-3</v>
      </c>
    </row>
    <row r="12" spans="1:5">
      <c r="B12">
        <v>35</v>
      </c>
      <c r="C12" s="6">
        <v>0.14299999999999999</v>
      </c>
      <c r="D12" s="7">
        <f t="shared" si="0"/>
        <v>1.6060607043314419E-2</v>
      </c>
      <c r="E12" s="3">
        <f t="shared" si="1"/>
        <v>1.0734338965834127E-3</v>
      </c>
    </row>
    <row r="13" spans="1:5">
      <c r="B13">
        <v>34</v>
      </c>
      <c r="C13" s="6">
        <v>0.16</v>
      </c>
      <c r="D13" s="7">
        <f t="shared" si="0"/>
        <v>2.0106192982974679E-2</v>
      </c>
      <c r="E13" s="3">
        <f t="shared" si="1"/>
        <v>8.5744725590758603E-4</v>
      </c>
    </row>
    <row r="14" spans="1:5">
      <c r="B14">
        <v>33</v>
      </c>
      <c r="C14" s="6">
        <v>0.18</v>
      </c>
      <c r="D14" s="7">
        <f t="shared" si="0"/>
        <v>2.5446900494077326E-2</v>
      </c>
      <c r="E14" s="3">
        <f t="shared" si="1"/>
        <v>6.7748918985290757E-4</v>
      </c>
    </row>
    <row r="15" spans="1:5">
      <c r="B15">
        <v>32</v>
      </c>
      <c r="C15" s="6">
        <v>0.20200000000000001</v>
      </c>
      <c r="D15" s="7">
        <f t="shared" si="0"/>
        <v>3.2047386659269483E-2</v>
      </c>
      <c r="E15" s="3">
        <f t="shared" si="1"/>
        <v>5.3795338082624758E-4</v>
      </c>
    </row>
    <row r="16" spans="1:5">
      <c r="B16">
        <v>31</v>
      </c>
      <c r="C16" s="6">
        <v>0.22700000000000001</v>
      </c>
      <c r="D16" s="7">
        <f t="shared" si="0"/>
        <v>4.0470781961707114E-2</v>
      </c>
      <c r="E16" s="3">
        <f t="shared" si="1"/>
        <v>4.259863329626852E-4</v>
      </c>
    </row>
    <row r="17" spans="2:5">
      <c r="B17">
        <v>30</v>
      </c>
      <c r="C17" s="6">
        <v>0.255</v>
      </c>
      <c r="D17" s="7">
        <f t="shared" si="0"/>
        <v>5.1070515574919075E-2</v>
      </c>
      <c r="E17" s="3">
        <f t="shared" si="1"/>
        <v>3.3757246830041072E-4</v>
      </c>
    </row>
    <row r="18" spans="2:5">
      <c r="B18">
        <v>29</v>
      </c>
      <c r="C18" s="6">
        <v>0.28599999999999998</v>
      </c>
      <c r="D18" s="7">
        <f t="shared" si="0"/>
        <v>6.4242428173257676E-2</v>
      </c>
      <c r="E18" s="3">
        <f t="shared" si="1"/>
        <v>2.6835847414585318E-4</v>
      </c>
    </row>
    <row r="19" spans="2:5">
      <c r="B19">
        <v>28</v>
      </c>
      <c r="C19" s="6">
        <v>0.32100000000000001</v>
      </c>
      <c r="D19" s="7">
        <f t="shared" si="0"/>
        <v>8.0928212154636484E-2</v>
      </c>
      <c r="E19" s="3">
        <f t="shared" si="1"/>
        <v>2.1302830670542991E-4</v>
      </c>
    </row>
    <row r="20" spans="2:5">
      <c r="B20">
        <v>27</v>
      </c>
      <c r="C20" s="6">
        <v>0.36099999999999999</v>
      </c>
      <c r="D20" s="7">
        <f t="shared" si="0"/>
        <v>0.10235387405211886</v>
      </c>
      <c r="E20" s="3">
        <f t="shared" si="1"/>
        <v>1.6843524643943958E-4</v>
      </c>
    </row>
    <row r="21" spans="2:5">
      <c r="B21">
        <v>26</v>
      </c>
      <c r="C21" s="6">
        <v>0.40500000000000003</v>
      </c>
      <c r="D21" s="7">
        <f t="shared" si="0"/>
        <v>0.12882493375126647</v>
      </c>
      <c r="E21" s="3">
        <f t="shared" si="1"/>
        <v>1.3382502515612988E-4</v>
      </c>
    </row>
    <row r="22" spans="2:5">
      <c r="B22">
        <v>25</v>
      </c>
      <c r="C22" s="6">
        <v>0.45500000000000002</v>
      </c>
      <c r="D22" s="7">
        <f t="shared" si="0"/>
        <v>0.16259705477735675</v>
      </c>
      <c r="E22" s="3">
        <f t="shared" si="1"/>
        <v>1.0602898080538198E-4</v>
      </c>
    </row>
    <row r="23" spans="2:5">
      <c r="B23">
        <v>24</v>
      </c>
      <c r="C23" s="6">
        <v>0.51100000000000001</v>
      </c>
      <c r="D23" s="7">
        <f t="shared" si="0"/>
        <v>0.20508395382450512</v>
      </c>
      <c r="E23" s="3">
        <f t="shared" si="1"/>
        <v>8.4063134528567998E-5</v>
      </c>
    </row>
    <row r="24" spans="2:5">
      <c r="B24">
        <v>23</v>
      </c>
      <c r="C24" s="6">
        <v>0.57299999999999995</v>
      </c>
      <c r="D24" s="7">
        <f t="shared" si="0"/>
        <v>0.25786899359012078</v>
      </c>
      <c r="E24" s="3">
        <f t="shared" si="1"/>
        <v>6.6855653174816137E-5</v>
      </c>
    </row>
    <row r="25" spans="2:5">
      <c r="B25">
        <v>22</v>
      </c>
      <c r="C25" s="6">
        <v>0.64400000000000002</v>
      </c>
      <c r="D25" s="7">
        <f t="shared" si="0"/>
        <v>0.3257328926948041</v>
      </c>
      <c r="E25" s="3">
        <f t="shared" si="1"/>
        <v>5.2926801028206393E-5</v>
      </c>
    </row>
    <row r="26" spans="2:5">
      <c r="B26">
        <v>21</v>
      </c>
      <c r="C26" s="6">
        <v>0.72299999999999998</v>
      </c>
      <c r="D26" s="7">
        <f t="shared" si="0"/>
        <v>0.4105503965545847</v>
      </c>
      <c r="E26" s="3">
        <f t="shared" si="1"/>
        <v>4.1992408592663136E-5</v>
      </c>
    </row>
    <row r="27" spans="2:5">
      <c r="B27">
        <v>20</v>
      </c>
      <c r="C27" s="6">
        <v>0.81200000000000006</v>
      </c>
      <c r="D27" s="7">
        <f t="shared" si="0"/>
        <v>0.51784756664712728</v>
      </c>
      <c r="E27" s="3">
        <f t="shared" si="1"/>
        <v>3.3291650111677975E-5</v>
      </c>
    </row>
    <row r="28" spans="2:5">
      <c r="B28">
        <v>19</v>
      </c>
      <c r="C28" s="6">
        <v>0.91200000000000003</v>
      </c>
      <c r="D28" s="7">
        <f t="shared" si="0"/>
        <v>0.65325021001684735</v>
      </c>
      <c r="E28" s="3">
        <f t="shared" si="1"/>
        <v>2.6391112831873993E-5</v>
      </c>
    </row>
    <row r="29" spans="2:5">
      <c r="B29">
        <v>18</v>
      </c>
      <c r="C29" s="6">
        <v>1.024</v>
      </c>
      <c r="D29" s="7">
        <f t="shared" si="0"/>
        <v>0.82354966458264278</v>
      </c>
      <c r="E29" s="3">
        <f t="shared" si="1"/>
        <v>2.0933770896181303E-5</v>
      </c>
    </row>
    <row r="30" spans="2:5">
      <c r="B30">
        <v>17</v>
      </c>
      <c r="C30" s="6">
        <v>1.1499999999999999</v>
      </c>
      <c r="D30" s="7">
        <f t="shared" si="0"/>
        <v>1.0386890710931251</v>
      </c>
      <c r="E30" s="3">
        <f t="shared" si="1"/>
        <v>1.6597844802445529E-5</v>
      </c>
    </row>
    <row r="31" spans="2:5">
      <c r="B31">
        <v>16</v>
      </c>
      <c r="C31" s="6">
        <v>1.2909999999999999</v>
      </c>
      <c r="D31" s="7">
        <f t="shared" si="0"/>
        <v>1.3090081963694224</v>
      </c>
      <c r="E31" s="3">
        <f t="shared" si="1"/>
        <v>1.3170276586361882E-5</v>
      </c>
    </row>
    <row r="32" spans="2:5">
      <c r="B32">
        <v>15</v>
      </c>
      <c r="C32" s="6">
        <v>1.45</v>
      </c>
      <c r="D32" s="7">
        <f t="shared" si="0"/>
        <v>1.6512996385431349</v>
      </c>
      <c r="E32" s="3">
        <f t="shared" si="1"/>
        <v>1.0440261475022215E-5</v>
      </c>
    </row>
    <row r="33" spans="2:5">
      <c r="B33">
        <v>14</v>
      </c>
      <c r="C33" s="6">
        <v>1.6279999999999999</v>
      </c>
      <c r="D33" s="7">
        <f t="shared" si="0"/>
        <v>2.0816067258979825</v>
      </c>
      <c r="E33" s="3">
        <f t="shared" si="1"/>
        <v>8.2820639391251259E-6</v>
      </c>
    </row>
    <row r="34" spans="2:5">
      <c r="B34">
        <v>13</v>
      </c>
      <c r="C34" s="6">
        <v>1.8280000000000001</v>
      </c>
      <c r="D34" s="7">
        <f t="shared" si="0"/>
        <v>2.624473936438299</v>
      </c>
      <c r="E34" s="3">
        <f t="shared" si="1"/>
        <v>6.5689354962299931E-6</v>
      </c>
    </row>
    <row r="35" spans="2:5">
      <c r="B35">
        <v>12</v>
      </c>
      <c r="C35" s="6">
        <v>2.0529999999999999</v>
      </c>
      <c r="D35" s="7">
        <f t="shared" si="0"/>
        <v>3.310303247671035</v>
      </c>
      <c r="E35" s="3">
        <f t="shared" si="1"/>
        <v>5.2079820820431512E-6</v>
      </c>
    </row>
    <row r="36" spans="2:5">
      <c r="B36">
        <v>11</v>
      </c>
      <c r="C36" s="6">
        <v>2.3050000000000002</v>
      </c>
      <c r="D36" s="7">
        <f t="shared" si="0"/>
        <v>4.1728400770847287</v>
      </c>
      <c r="E36" s="3">
        <f t="shared" si="1"/>
        <v>4.1314787246877624E-6</v>
      </c>
    </row>
    <row r="37" spans="2:5">
      <c r="B37">
        <v>10</v>
      </c>
      <c r="C37" s="6">
        <v>2.5880000000000001</v>
      </c>
      <c r="D37" s="7">
        <f t="shared" si="0"/>
        <v>5.2603958365062793</v>
      </c>
      <c r="E37" s="3">
        <f t="shared" si="1"/>
        <v>3.2773199082010608E-6</v>
      </c>
    </row>
    <row r="38" spans="2:5">
      <c r="B38">
        <v>9</v>
      </c>
      <c r="C38" s="6">
        <v>2.9060000000000001</v>
      </c>
      <c r="D38" s="7">
        <f t="shared" si="0"/>
        <v>6.6325586845926541</v>
      </c>
      <c r="E38" s="3">
        <f t="shared" si="1"/>
        <v>2.5992985241198534E-6</v>
      </c>
    </row>
    <row r="39" spans="2:5">
      <c r="B39">
        <v>8</v>
      </c>
      <c r="C39" s="6">
        <v>3.2639999999999998</v>
      </c>
      <c r="D39" s="7">
        <f t="shared" si="0"/>
        <v>8.3673932717947412</v>
      </c>
      <c r="E39" s="3">
        <f t="shared" si="1"/>
        <v>2.0603788348413738E-6</v>
      </c>
    </row>
    <row r="40" spans="2:5">
      <c r="B40">
        <v>7</v>
      </c>
      <c r="C40" s="6">
        <v>3.665</v>
      </c>
      <c r="D40" s="7">
        <f t="shared" si="0"/>
        <v>10.549644845341289</v>
      </c>
      <c r="E40" s="3">
        <f t="shared" si="1"/>
        <v>1.634178235641095E-6</v>
      </c>
    </row>
    <row r="41" spans="2:5">
      <c r="B41">
        <v>6</v>
      </c>
      <c r="C41" s="6">
        <v>4.1150000000000002</v>
      </c>
      <c r="D41" s="7">
        <f t="shared" si="0"/>
        <v>13.299323815395757</v>
      </c>
      <c r="E41" s="3">
        <f t="shared" si="1"/>
        <v>1.2963065069550664E-6</v>
      </c>
    </row>
    <row r="42" spans="2:5">
      <c r="B42">
        <v>5</v>
      </c>
      <c r="C42" s="6">
        <v>4.6210000000000004</v>
      </c>
      <c r="D42" s="7">
        <f t="shared" si="0"/>
        <v>16.771110423248455</v>
      </c>
      <c r="E42" s="3">
        <f t="shared" si="1"/>
        <v>1.0279581712193345E-6</v>
      </c>
    </row>
    <row r="43" spans="2:5">
      <c r="B43">
        <v>4</v>
      </c>
      <c r="C43" s="6">
        <v>5.1890000000000001</v>
      </c>
      <c r="D43" s="7">
        <f t="shared" si="0"/>
        <v>21.147411821552105</v>
      </c>
      <c r="E43" s="3">
        <f t="shared" si="1"/>
        <v>8.1522978535037951E-7</v>
      </c>
    </row>
    <row r="44" spans="2:5">
      <c r="B44">
        <v>3</v>
      </c>
      <c r="C44" s="6">
        <v>5.827</v>
      </c>
      <c r="D44" s="7">
        <f t="shared" si="0"/>
        <v>26.667353476727357</v>
      </c>
      <c r="E44" s="3">
        <f t="shared" si="1"/>
        <v>6.4648334957742906E-7</v>
      </c>
    </row>
    <row r="45" spans="2:5">
      <c r="B45">
        <v>2</v>
      </c>
      <c r="C45" s="6">
        <v>6.5439999999999996</v>
      </c>
      <c r="D45" s="7">
        <f t="shared" si="0"/>
        <v>33.633840683849868</v>
      </c>
      <c r="E45" s="3">
        <f t="shared" si="1"/>
        <v>5.1257898739700633E-7</v>
      </c>
    </row>
    <row r="46" spans="2:5">
      <c r="B46">
        <v>1</v>
      </c>
      <c r="C46" s="6">
        <v>7.3479999999999999</v>
      </c>
      <c r="D46" s="7">
        <f t="shared" si="0"/>
        <v>42.406084717727417</v>
      </c>
      <c r="E46" s="3">
        <f t="shared" si="1"/>
        <v>4.0654543126904148E-7</v>
      </c>
    </row>
    <row r="47" spans="2:5">
      <c r="B47">
        <v>0</v>
      </c>
      <c r="C47" s="6">
        <v>8.2509999999999994</v>
      </c>
      <c r="D47" s="7">
        <f t="shared" si="0"/>
        <v>53.469122351333041</v>
      </c>
      <c r="E47" s="3">
        <f t="shared" si="1"/>
        <v>3.224290813438083E-7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71</vt:i4>
      </vt:variant>
    </vt:vector>
  </HeadingPairs>
  <TitlesOfParts>
    <vt:vector size="74" baseType="lpstr">
      <vt:lpstr>Calculations</vt:lpstr>
      <vt:lpstr>Wire Sizes</vt:lpstr>
      <vt:lpstr>Sheet3</vt:lpstr>
      <vt:lpstr>Actual_Flux_Density</vt:lpstr>
      <vt:lpstr>AWG_Table</vt:lpstr>
      <vt:lpstr>AWG_Wire_Area</vt:lpstr>
      <vt:lpstr>AWG_Wire_Top</vt:lpstr>
      <vt:lpstr>Calcs_ET_Product</vt:lpstr>
      <vt:lpstr>Calcs_Targ_Turns_Pri</vt:lpstr>
      <vt:lpstr>Calcs_Targ_Turns_Sec1</vt:lpstr>
      <vt:lpstr>Calcs_Targ_Turns_Sec2</vt:lpstr>
      <vt:lpstr>Const_AC_Corr</vt:lpstr>
      <vt:lpstr>Const_Flux_Derating</vt:lpstr>
      <vt:lpstr>Const_Max_Period</vt:lpstr>
      <vt:lpstr>Const_MAX13256_ILim</vt:lpstr>
      <vt:lpstr>Const_MAX13256_R</vt:lpstr>
      <vt:lpstr>Const_Min_OSC</vt:lpstr>
      <vt:lpstr>Const_Mu_0</vt:lpstr>
      <vt:lpstr>Const_Wind_Fill_Fac</vt:lpstr>
      <vt:lpstr>Core_Area_Ferrite</vt:lpstr>
      <vt:lpstr>Core_Area_Window</vt:lpstr>
      <vt:lpstr>Core_Effective_Length</vt:lpstr>
      <vt:lpstr>Core_Effective_Volume</vt:lpstr>
      <vt:lpstr>Core_Mean_Length_per_Turn</vt:lpstr>
      <vt:lpstr>DCR_DCR_per_Turn_Sec1</vt:lpstr>
      <vt:lpstr>Ferrite_Core_Loss</vt:lpstr>
      <vt:lpstr>Ferrite_Flux_Density</vt:lpstr>
      <vt:lpstr>Ferrite_Mu_Rel</vt:lpstr>
      <vt:lpstr>Losses_b</vt:lpstr>
      <vt:lpstr>Losses_c</vt:lpstr>
      <vt:lpstr>Losses_Core_Loss</vt:lpstr>
      <vt:lpstr>Losses_IC_DC_I</vt:lpstr>
      <vt:lpstr>Losses_IC_RMS_I</vt:lpstr>
      <vt:lpstr>Losses_IMag</vt:lpstr>
      <vt:lpstr>Losses_OCL_pk</vt:lpstr>
      <vt:lpstr>Losses_OCL_pp</vt:lpstr>
      <vt:lpstr>Losses_OCL_rms</vt:lpstr>
      <vt:lpstr>Losses_V_at_PRI</vt:lpstr>
      <vt:lpstr>Prop_Wire_Area_Pri</vt:lpstr>
      <vt:lpstr>Prop_Wire_Area_Sec1</vt:lpstr>
      <vt:lpstr>Prop_Wire_Area_Sec2</vt:lpstr>
      <vt:lpstr>Prop_Wire_Gauge_Pri</vt:lpstr>
      <vt:lpstr>Prop_Wire_Gauge_Sec1</vt:lpstr>
      <vt:lpstr>Prop_Wire_Gauge_Sec2</vt:lpstr>
      <vt:lpstr>User_DCR_per_Turn_Pri</vt:lpstr>
      <vt:lpstr>User_DCR_per_Turn_Sec1</vt:lpstr>
      <vt:lpstr>USER_DCR_per_Turn_Sec2</vt:lpstr>
      <vt:lpstr>User_DCR_Pri</vt:lpstr>
      <vt:lpstr>User_DCR_Sec1</vt:lpstr>
      <vt:lpstr>User_DCR_Sec2</vt:lpstr>
      <vt:lpstr>User_Gauge_Pri</vt:lpstr>
      <vt:lpstr>User_Gauge_Sec</vt:lpstr>
      <vt:lpstr>User_Gauge_Sec1</vt:lpstr>
      <vt:lpstr>User_Gauge_Sec2</vt:lpstr>
      <vt:lpstr>User_Turns_Pri</vt:lpstr>
      <vt:lpstr>User_Turns_Sec1</vt:lpstr>
      <vt:lpstr>User_Turns_Sec2</vt:lpstr>
      <vt:lpstr>User_Window_Total</vt:lpstr>
      <vt:lpstr>User_Wire_Area_Pri</vt:lpstr>
      <vt:lpstr>User_Wire_Area_Sec1</vt:lpstr>
      <vt:lpstr>User_Wire_Area_Sec2</vt:lpstr>
      <vt:lpstr>VnI_IOUT1</vt:lpstr>
      <vt:lpstr>VnI_IOUT2</vt:lpstr>
      <vt:lpstr>VnI_VIN</vt:lpstr>
      <vt:lpstr>VnI_VOUT1_Target</vt:lpstr>
      <vt:lpstr>VnI_VOUT2_TARGET</vt:lpstr>
      <vt:lpstr>Wind_Frac_Pri</vt:lpstr>
      <vt:lpstr>Wind_Frac_Sec1</vt:lpstr>
      <vt:lpstr>Wind_Frac_Sec2</vt:lpstr>
      <vt:lpstr>Wind_I_Total</vt:lpstr>
      <vt:lpstr>Wind_Wire_Area_Pri</vt:lpstr>
      <vt:lpstr>Wind_Wire_Area_Sec1</vt:lpstr>
      <vt:lpstr>Wind_Wire_Area_Sec2</vt:lpstr>
      <vt:lpstr>Window_I_Pri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Micheal Scherrenburg</dc:creator>
  <cp:lastModifiedBy>Micheal Scherrenburg</cp:lastModifiedBy>
  <dcterms:created xsi:type="dcterms:W3CDTF">2013-06-17T15:56:53Z</dcterms:created>
  <dcterms:modified xsi:type="dcterms:W3CDTF">2013-10-24T20:20:04Z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ire_Area_Pri" linkTarget="Prop_Wire_Area_Pri">
    <vt:r8>0.205083953824505</vt:r8>
  </property>
  <property fmtid="{D5CDD505-2E9C-101B-9397-08002B2CF9AE}" pid="3" name="Wire_Area_Sec1" linkTarget="Prop_Wire_Area_Sec1">
    <vt:r8>0.325732892694804</vt:r8>
  </property>
  <property fmtid="{D5CDD505-2E9C-101B-9397-08002B2CF9AE}" pid="4" name="Wire_Area_Sec2" linkTarget="Prop_Wire_Area_Sec2">
    <vt:r8>0.205083953824505</vt:r8>
  </property>
  <property fmtid="{D5CDD505-2E9C-101B-9397-08002B2CF9AE}" pid="5" name="Wire_Gauge_Pri" linkTarget="Prop_Wire_Gauge_Pri">
    <vt:r8>24</vt:r8>
  </property>
  <property fmtid="{D5CDD505-2E9C-101B-9397-08002B2CF9AE}" pid="6" name="Wire_Gauge_Sec1" linkTarget="Prop_Wire_Gauge_Sec1">
    <vt:r8>22</vt:r8>
  </property>
  <property fmtid="{D5CDD505-2E9C-101B-9397-08002B2CF9AE}" pid="7" name="Wire_Gauge_Sec2" linkTarget="Prop_Wire_Gauge_Sec2">
    <vt:r8>24</vt:r8>
  </property>
</Properties>
</file>