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inciu\Documents\MyWork\energy\ADE7978\video\"/>
    </mc:Choice>
  </mc:AlternateContent>
  <bookViews>
    <workbookView xWindow="360" yWindow="135" windowWidth="18600" windowHeight="97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4" i="1" l="1"/>
  <c r="D29" i="1" l="1"/>
  <c r="D34" i="1" s="1"/>
  <c r="D35" i="1"/>
  <c r="D18" i="1"/>
  <c r="D15" i="1"/>
  <c r="D14" i="1"/>
  <c r="D16" i="1" s="1"/>
  <c r="D11" i="1"/>
  <c r="D17" i="1" s="1"/>
  <c r="D20" i="1" l="1"/>
  <c r="D42" i="1"/>
  <c r="D30" i="1"/>
  <c r="D40" i="1" s="1"/>
  <c r="D21" i="1"/>
  <c r="D31" i="1"/>
  <c r="D41" i="1" s="1"/>
  <c r="D36" i="1"/>
  <c r="D37" i="1" s="1"/>
  <c r="D47" i="1" l="1"/>
  <c r="D48" i="1"/>
</calcChain>
</file>

<file path=xl/sharedStrings.xml><?xml version="1.0" encoding="utf-8"?>
<sst xmlns="http://schemas.openxmlformats.org/spreadsheetml/2006/main" count="45" uniqueCount="42">
  <si>
    <t>fL[Hz]</t>
  </si>
  <si>
    <t>In[A]</t>
  </si>
  <si>
    <t>Vn[V]</t>
  </si>
  <si>
    <t>MC[imp/kwh]</t>
  </si>
  <si>
    <t>pf</t>
  </si>
  <si>
    <t>ϕ=acos(pf)</t>
  </si>
  <si>
    <t>CF active power expected at In, Vn, pf, CF=MC*V*I*PF/3.6E6</t>
  </si>
  <si>
    <t>Vn as percetage of full scale</t>
  </si>
  <si>
    <t>In as percetage of full scale</t>
  </si>
  <si>
    <t>CF at full scale</t>
  </si>
  <si>
    <t>CFDEN=CF_FS*V%*I%*pf/CF_exp</t>
  </si>
  <si>
    <t>pf=0.5</t>
  </si>
  <si>
    <t>phase resolution=360*fL/1.024E6</t>
  </si>
  <si>
    <t>Phase Compensation=abs(Error/Phase resolution)</t>
  </si>
  <si>
    <t>APHCAL</t>
  </si>
  <si>
    <t>PHASE COMPENSATION</t>
  </si>
  <si>
    <t>GAIN CALIBRATION</t>
  </si>
  <si>
    <t>Full scale voltage [V]</t>
  </si>
  <si>
    <t>full scale voltage, VFS=0.5/sqrt(2)*901 for evaluation board</t>
  </si>
  <si>
    <t>Full scale current [A]</t>
  </si>
  <si>
    <t>PMAX</t>
  </si>
  <si>
    <t>LINECYC</t>
  </si>
  <si>
    <t>PERIOD</t>
  </si>
  <si>
    <t>fs[Hz]</t>
  </si>
  <si>
    <t>WTHR</t>
  </si>
  <si>
    <t>VLEVEL=VFS/Vn*4E6</t>
  </si>
  <si>
    <t>Phase A</t>
  </si>
  <si>
    <r>
      <t>CF reactive power expected at In, Vn , pf, CF=MC*V*I*sin(</t>
    </r>
    <r>
      <rPr>
        <sz val="22"/>
        <color theme="1"/>
        <rFont val="Calibri"/>
        <family val="2"/>
      </rPr>
      <t>ϕ)/3.6E6</t>
    </r>
  </si>
  <si>
    <t>AWATTHR</t>
  </si>
  <si>
    <t>Expected WATTHR</t>
  </si>
  <si>
    <t>Expected VARHR</t>
  </si>
  <si>
    <t>AVARHR</t>
  </si>
  <si>
    <t>AWATTHR after APHCAL compensation</t>
  </si>
  <si>
    <t>AVARHR after PHCAL compensation</t>
  </si>
  <si>
    <t>error between AWATTHR just obtained and the expected one[%]</t>
  </si>
  <si>
    <t>error between AVARHR just obtained and the expected one[%]</t>
  </si>
  <si>
    <t>APGAIN=WATTHRexpected/WATTHRactual-1</t>
  </si>
  <si>
    <t>AWATTHR after APHCAL and APGAIN compensation</t>
  </si>
  <si>
    <t>AVARHR after APHCAL and APGAIN compensation</t>
  </si>
  <si>
    <r>
      <t>error=-atan[(WATTHR*sin(</t>
    </r>
    <r>
      <rPr>
        <sz val="22"/>
        <color theme="1"/>
        <rFont val="Calibri"/>
        <family val="2"/>
      </rPr>
      <t>ϕ)-VARHR*cos(ϕ))/(VARHR*sin(ϕ)+WATTHR*cos(ϕ))</t>
    </r>
  </si>
  <si>
    <r>
      <t>error=-atan[(AWATTHR*sin(</t>
    </r>
    <r>
      <rPr>
        <sz val="22"/>
        <color theme="1"/>
        <rFont val="Calibri"/>
        <family val="2"/>
      </rPr>
      <t>ϕ)-AVARHR*cos(ϕ))/(AVARHR*sin(ϕ)+AWATTHR*cos(ϕ))</t>
    </r>
  </si>
  <si>
    <t>We consider In=10A, Vn=230V, MC=8000imp/kwh, eval board voltage 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</si>
</sst>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9" formatCode="0.0000E+00"/>
  </numFmts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2" fillId="0" borderId="0" xfId="0" applyFont="1"/>
    <xf numFmtId="0" fontId="1" fillId="0" borderId="0" xfId="0" applyFont="1" applyFill="1"/>
    <xf numFmtId="11" fontId="1" fillId="0" borderId="0" xfId="0" applyNumberFormat="1" applyFont="1"/>
    <xf numFmtId="2" fontId="1" fillId="0" borderId="0" xfId="0" applyNumberFormat="1" applyFont="1"/>
    <xf numFmtId="169" fontId="1" fillId="0" borderId="0" xfId="0" applyNumberFormat="1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wmf"/><Relationship Id="rId16" Type="http://schemas.openxmlformats.org/officeDocument/2006/relationships/image" Target="../media/image16.e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</xdr:colOff>
          <xdr:row>14</xdr:row>
          <xdr:rowOff>1</xdr:rowOff>
        </xdr:from>
        <xdr:to>
          <xdr:col>11</xdr:col>
          <xdr:colOff>47626</xdr:colOff>
          <xdr:row>14</xdr:row>
          <xdr:rowOff>882445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0</xdr:rowOff>
        </xdr:from>
        <xdr:to>
          <xdr:col>12</xdr:col>
          <xdr:colOff>127000</xdr:colOff>
          <xdr:row>15</xdr:row>
          <xdr:rowOff>899424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15875</xdr:colOff>
          <xdr:row>15</xdr:row>
          <xdr:rowOff>1063625</xdr:rowOff>
        </xdr:from>
        <xdr:to>
          <xdr:col>7</xdr:col>
          <xdr:colOff>222250</xdr:colOff>
          <xdr:row>16</xdr:row>
          <xdr:rowOff>714375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7</xdr:col>
          <xdr:colOff>137077</xdr:colOff>
          <xdr:row>18</xdr:row>
          <xdr:rowOff>15875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15875</xdr:colOff>
          <xdr:row>19</xdr:row>
          <xdr:rowOff>15875</xdr:rowOff>
        </xdr:from>
        <xdr:to>
          <xdr:col>11</xdr:col>
          <xdr:colOff>250825</xdr:colOff>
          <xdr:row>19</xdr:row>
          <xdr:rowOff>762000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8</xdr:col>
          <xdr:colOff>564738</xdr:colOff>
          <xdr:row>21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755650</xdr:colOff>
          <xdr:row>29</xdr:row>
          <xdr:rowOff>0</xdr:rowOff>
        </xdr:from>
        <xdr:to>
          <xdr:col>19</xdr:col>
          <xdr:colOff>171450</xdr:colOff>
          <xdr:row>29</xdr:row>
          <xdr:rowOff>933450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755650</xdr:colOff>
          <xdr:row>30</xdr:row>
          <xdr:rowOff>19050</xdr:rowOff>
        </xdr:from>
        <xdr:to>
          <xdr:col>19</xdr:col>
          <xdr:colOff>171450</xdr:colOff>
          <xdr:row>30</xdr:row>
          <xdr:rowOff>977900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727076</xdr:colOff>
          <xdr:row>33</xdr:row>
          <xdr:rowOff>38101</xdr:rowOff>
        </xdr:from>
        <xdr:to>
          <xdr:col>21</xdr:col>
          <xdr:colOff>492126</xdr:colOff>
          <xdr:row>33</xdr:row>
          <xdr:rowOff>1242513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9</xdr:col>
          <xdr:colOff>401305</xdr:colOff>
          <xdr:row>35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777874</xdr:colOff>
          <xdr:row>35</xdr:row>
          <xdr:rowOff>0</xdr:rowOff>
        </xdr:from>
        <xdr:to>
          <xdr:col>13</xdr:col>
          <xdr:colOff>398545</xdr:colOff>
          <xdr:row>35</xdr:row>
          <xdr:rowOff>857250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1079499</xdr:rowOff>
        </xdr:from>
        <xdr:to>
          <xdr:col>15</xdr:col>
          <xdr:colOff>462939</xdr:colOff>
          <xdr:row>36</xdr:row>
          <xdr:rowOff>809624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12</xdr:col>
          <xdr:colOff>563563</xdr:colOff>
          <xdr:row>39</xdr:row>
          <xdr:rowOff>857250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12</xdr:col>
          <xdr:colOff>180799</xdr:colOff>
          <xdr:row>40</xdr:row>
          <xdr:rowOff>920750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777874</xdr:colOff>
          <xdr:row>43</xdr:row>
          <xdr:rowOff>0</xdr:rowOff>
        </xdr:from>
        <xdr:to>
          <xdr:col>14</xdr:col>
          <xdr:colOff>162635</xdr:colOff>
          <xdr:row>44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12</xdr:col>
          <xdr:colOff>561975</xdr:colOff>
          <xdr:row>46</xdr:row>
          <xdr:rowOff>857250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12</xdr:col>
          <xdr:colOff>180975</xdr:colOff>
          <xdr:row>47</xdr:row>
          <xdr:rowOff>923925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771525</xdr:colOff>
          <xdr:row>41</xdr:row>
          <xdr:rowOff>38100</xdr:rowOff>
        </xdr:from>
        <xdr:to>
          <xdr:col>21</xdr:col>
          <xdr:colOff>533400</xdr:colOff>
          <xdr:row>41</xdr:row>
          <xdr:rowOff>1238250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oleObject" Target="../embeddings/oleObject16.bin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37" Type="http://schemas.openxmlformats.org/officeDocument/2006/relationships/image" Target="../media/image16.emf"/><Relationship Id="rId5" Type="http://schemas.openxmlformats.org/officeDocument/2006/relationships/image" Target="../media/image1.w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8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Relationship Id="rId35" Type="http://schemas.openxmlformats.org/officeDocument/2006/relationships/oleObject" Target="../embeddings/oleObject1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F48"/>
  <sheetViews>
    <sheetView tabSelected="1" topLeftCell="A27" zoomScale="60" zoomScaleNormal="60" workbookViewId="0">
      <selection activeCell="D45" sqref="D45:D46"/>
    </sheetView>
  </sheetViews>
  <sheetFormatPr defaultRowHeight="28.5" x14ac:dyDescent="0.45"/>
  <cols>
    <col min="1" max="1" width="9.140625" style="1"/>
    <col min="2" max="2" width="48" style="1" customWidth="1"/>
    <col min="3" max="3" width="38.5703125" style="1" customWidth="1"/>
    <col min="4" max="4" width="27" style="1" bestFit="1" customWidth="1"/>
    <col min="5" max="6" width="11.7109375" style="1" customWidth="1"/>
    <col min="7" max="16384" width="9.140625" style="1"/>
  </cols>
  <sheetData>
    <row r="5" spans="1:6" x14ac:dyDescent="0.45">
      <c r="D5" s="1" t="s">
        <v>26</v>
      </c>
    </row>
    <row r="6" spans="1:6" s="2" customFormat="1" x14ac:dyDescent="0.45">
      <c r="A6" s="2" t="s">
        <v>41</v>
      </c>
    </row>
    <row r="7" spans="1:6" x14ac:dyDescent="0.45">
      <c r="B7" s="1" t="s">
        <v>0</v>
      </c>
      <c r="D7" s="6">
        <v>50</v>
      </c>
      <c r="E7" s="6"/>
      <c r="F7" s="6"/>
    </row>
    <row r="8" spans="1:6" x14ac:dyDescent="0.45">
      <c r="B8" s="1" t="s">
        <v>1</v>
      </c>
      <c r="D8" s="6">
        <v>10</v>
      </c>
      <c r="E8" s="6"/>
      <c r="F8" s="6"/>
    </row>
    <row r="9" spans="1:6" x14ac:dyDescent="0.45">
      <c r="B9" s="1" t="s">
        <v>2</v>
      </c>
      <c r="D9" s="6">
        <v>230</v>
      </c>
      <c r="E9" s="6"/>
      <c r="F9" s="6"/>
    </row>
    <row r="10" spans="1:6" x14ac:dyDescent="0.45">
      <c r="B10" s="1" t="s">
        <v>3</v>
      </c>
      <c r="D10" s="6">
        <v>8000</v>
      </c>
      <c r="E10" s="6"/>
      <c r="F10" s="6"/>
    </row>
    <row r="11" spans="1:6" ht="85.5" x14ac:dyDescent="0.45">
      <c r="B11" s="1" t="s">
        <v>17</v>
      </c>
      <c r="C11" s="3" t="s">
        <v>18</v>
      </c>
      <c r="D11" s="3">
        <f>ROUND(0.5/SQRT(2)*901,2)</f>
        <v>318.55</v>
      </c>
      <c r="E11" s="3"/>
      <c r="F11" s="3"/>
    </row>
    <row r="12" spans="1:6" x14ac:dyDescent="0.45">
      <c r="B12" s="1" t="s">
        <v>19</v>
      </c>
      <c r="C12" s="3"/>
      <c r="D12" s="4">
        <v>120</v>
      </c>
      <c r="E12" s="4"/>
      <c r="F12" s="4"/>
    </row>
    <row r="13" spans="1:6" x14ac:dyDescent="0.45">
      <c r="B13" s="1" t="s">
        <v>4</v>
      </c>
      <c r="D13" s="1">
        <v>1</v>
      </c>
    </row>
    <row r="14" spans="1:6" x14ac:dyDescent="0.45">
      <c r="B14" s="5" t="s">
        <v>5</v>
      </c>
      <c r="D14" s="1">
        <f>ACOS(D13)</f>
        <v>0</v>
      </c>
    </row>
    <row r="15" spans="1:6" ht="85.5" x14ac:dyDescent="0.45">
      <c r="B15" s="3" t="s">
        <v>6</v>
      </c>
      <c r="D15" s="1">
        <f>D10*D9*D8*D13/3600000</f>
        <v>5.1111111111111107</v>
      </c>
      <c r="F15"/>
    </row>
    <row r="16" spans="1:6" ht="85.5" x14ac:dyDescent="0.45">
      <c r="B16" s="3" t="s">
        <v>27</v>
      </c>
      <c r="D16" s="1">
        <f>D10*D9*D8*SIN(D14)/3600000</f>
        <v>0</v>
      </c>
      <c r="F16"/>
    </row>
    <row r="17" spans="1:6" ht="57" customHeight="1" x14ac:dyDescent="0.45">
      <c r="B17" s="1" t="s">
        <v>7</v>
      </c>
      <c r="D17" s="6">
        <f>D9/D11*100</f>
        <v>72.202166064981938</v>
      </c>
      <c r="E17" s="6"/>
      <c r="F17" s="6"/>
    </row>
    <row r="18" spans="1:6" ht="57" customHeight="1" x14ac:dyDescent="0.45">
      <c r="B18" s="1" t="s">
        <v>8</v>
      </c>
      <c r="D18" s="6">
        <f>D8/D12*100</f>
        <v>8.3333333333333321</v>
      </c>
      <c r="E18" s="6"/>
      <c r="F18" s="6"/>
    </row>
    <row r="19" spans="1:6" x14ac:dyDescent="0.45">
      <c r="B19" s="1" t="s">
        <v>9</v>
      </c>
      <c r="D19" s="1">
        <v>68800</v>
      </c>
    </row>
    <row r="20" spans="1:6" ht="60.75" customHeight="1" x14ac:dyDescent="0.45">
      <c r="B20" s="1" t="s">
        <v>10</v>
      </c>
      <c r="D20" s="1">
        <f>ROUND(D19*D17/100*D18/100*D13/D15,0)</f>
        <v>810</v>
      </c>
    </row>
    <row r="21" spans="1:6" ht="57" customHeight="1" x14ac:dyDescent="0.45">
      <c r="B21" s="1" t="s">
        <v>25</v>
      </c>
      <c r="D21" s="1">
        <f>D11/D9*4000000</f>
        <v>5540000</v>
      </c>
    </row>
    <row r="22" spans="1:6" x14ac:dyDescent="0.45">
      <c r="B22" s="1" t="s">
        <v>20</v>
      </c>
      <c r="D22" s="1">
        <v>26991271</v>
      </c>
    </row>
    <row r="23" spans="1:6" x14ac:dyDescent="0.45">
      <c r="B23" s="1" t="s">
        <v>21</v>
      </c>
      <c r="D23" s="1">
        <v>100</v>
      </c>
    </row>
    <row r="24" spans="1:6" x14ac:dyDescent="0.45">
      <c r="B24" s="1" t="s">
        <v>22</v>
      </c>
      <c r="D24" s="1">
        <v>5122</v>
      </c>
    </row>
    <row r="25" spans="1:6" x14ac:dyDescent="0.45">
      <c r="B25" s="1" t="s">
        <v>23</v>
      </c>
      <c r="D25" s="9">
        <v>1024000</v>
      </c>
      <c r="E25" s="7"/>
      <c r="F25" s="7"/>
    </row>
    <row r="26" spans="1:6" x14ac:dyDescent="0.45">
      <c r="B26" s="1" t="s">
        <v>24</v>
      </c>
      <c r="D26" s="7">
        <v>3</v>
      </c>
      <c r="E26" s="7"/>
      <c r="F26" s="7"/>
    </row>
    <row r="27" spans="1:6" s="2" customFormat="1" x14ac:dyDescent="0.45">
      <c r="A27" s="2" t="s">
        <v>15</v>
      </c>
    </row>
    <row r="28" spans="1:6" x14ac:dyDescent="0.45">
      <c r="B28" s="1" t="s">
        <v>11</v>
      </c>
      <c r="D28" s="1">
        <v>0.5</v>
      </c>
    </row>
    <row r="29" spans="1:6" x14ac:dyDescent="0.45">
      <c r="B29" s="5" t="s">
        <v>5</v>
      </c>
      <c r="D29" s="1">
        <f>ACOS(D28)</f>
        <v>1.0471975511965976</v>
      </c>
    </row>
    <row r="30" spans="1:6" ht="75" customHeight="1" x14ac:dyDescent="0.45">
      <c r="B30" s="3" t="s">
        <v>29</v>
      </c>
      <c r="D30" s="8">
        <f>ROUND(D$9/D$11*D$8/D$12*COS(D$29)*D$22*D$23/2*D$24/256000*D$25/D$26/2^27,0)</f>
        <v>2066</v>
      </c>
      <c r="E30" s="8"/>
      <c r="F30" s="8"/>
    </row>
    <row r="31" spans="1:6" ht="79.5" customHeight="1" x14ac:dyDescent="0.45">
      <c r="B31" s="3" t="s">
        <v>30</v>
      </c>
      <c r="D31" s="8">
        <f>ROUND(D$9/D$11*D$8/D$12*SIN(D$29)*D$22*D$23/2*D$24/256000*D$25/D$26/2^27,0)</f>
        <v>3578</v>
      </c>
      <c r="E31" s="8"/>
      <c r="F31" s="8"/>
    </row>
    <row r="32" spans="1:6" x14ac:dyDescent="0.45">
      <c r="B32" s="3" t="s">
        <v>28</v>
      </c>
      <c r="D32" s="10">
        <v>2042</v>
      </c>
    </row>
    <row r="33" spans="1:4" x14ac:dyDescent="0.45">
      <c r="B33" s="3" t="s">
        <v>31</v>
      </c>
      <c r="D33" s="10">
        <v>3402</v>
      </c>
    </row>
    <row r="34" spans="1:4" ht="114" x14ac:dyDescent="0.45">
      <c r="B34" s="3" t="s">
        <v>39</v>
      </c>
      <c r="D34" s="1">
        <f>-ATAN((D32*SIN(D29)-D33*COS(D29))/(D33*SIN(D29)+D32*COS(D29)))*360/2/PI()</f>
        <v>-0.9736624412958873</v>
      </c>
    </row>
    <row r="35" spans="1:4" ht="57" customHeight="1" x14ac:dyDescent="0.45">
      <c r="B35" s="3" t="s">
        <v>12</v>
      </c>
      <c r="D35" s="1">
        <f>360*D$7/1024000</f>
        <v>1.7578125E-2</v>
      </c>
    </row>
    <row r="36" spans="1:4" ht="85.5" x14ac:dyDescent="0.45">
      <c r="B36" s="3" t="s">
        <v>13</v>
      </c>
      <c r="D36" s="1">
        <f>ROUND(ABS(D34/D35),0)</f>
        <v>55</v>
      </c>
    </row>
    <row r="37" spans="1:4" ht="64.5" customHeight="1" x14ac:dyDescent="0.45">
      <c r="B37" s="3" t="s">
        <v>14</v>
      </c>
      <c r="D37" s="1">
        <f>IF(D34&gt;=0, D36+512, D36)</f>
        <v>55</v>
      </c>
    </row>
    <row r="38" spans="1:4" ht="57" x14ac:dyDescent="0.45">
      <c r="B38" s="3" t="s">
        <v>32</v>
      </c>
      <c r="D38" s="10">
        <v>1984</v>
      </c>
    </row>
    <row r="39" spans="1:4" ht="57" x14ac:dyDescent="0.45">
      <c r="B39" s="3" t="s">
        <v>33</v>
      </c>
      <c r="D39" s="10">
        <v>3436</v>
      </c>
    </row>
    <row r="40" spans="1:4" ht="85.5" x14ac:dyDescent="0.45">
      <c r="B40" s="3" t="s">
        <v>34</v>
      </c>
      <c r="D40" s="1">
        <f t="shared" ref="D40:D41" si="0">(D38-D30)/D30*100</f>
        <v>-3.9690222652468541</v>
      </c>
    </row>
    <row r="41" spans="1:4" ht="85.5" x14ac:dyDescent="0.45">
      <c r="B41" s="3" t="s">
        <v>35</v>
      </c>
      <c r="D41" s="1">
        <f t="shared" si="0"/>
        <v>-3.9686975964225821</v>
      </c>
    </row>
    <row r="42" spans="1:4" ht="142.5" x14ac:dyDescent="0.45">
      <c r="B42" s="3" t="s">
        <v>40</v>
      </c>
      <c r="D42" s="1">
        <f>-ATAN((D38*SIN(D29)-D39*COS(D29))/(D39*SIN(D29)+D38*COS(D29)))*360/2/PI()</f>
        <v>-2.8072853526111374E-3</v>
      </c>
    </row>
    <row r="43" spans="1:4" s="2" customFormat="1" x14ac:dyDescent="0.45">
      <c r="A43" s="2" t="s">
        <v>16</v>
      </c>
    </row>
    <row r="44" spans="1:4" ht="113.25" customHeight="1" x14ac:dyDescent="0.45">
      <c r="B44" s="1" t="s">
        <v>36</v>
      </c>
      <c r="D44" s="1">
        <f>ROUND(IF(D30/D38-1&gt;0, (D30/D38-1)*2^23, 2^24+(D30/D38-1)*2^23),0)</f>
        <v>346707</v>
      </c>
    </row>
    <row r="45" spans="1:4" ht="85.5" x14ac:dyDescent="0.45">
      <c r="B45" s="3" t="s">
        <v>37</v>
      </c>
      <c r="D45" s="10">
        <v>2066</v>
      </c>
    </row>
    <row r="46" spans="1:4" ht="57" x14ac:dyDescent="0.45">
      <c r="B46" s="3" t="s">
        <v>38</v>
      </c>
      <c r="D46" s="10">
        <v>3578</v>
      </c>
    </row>
    <row r="47" spans="1:4" ht="85.5" x14ac:dyDescent="0.45">
      <c r="B47" s="3" t="s">
        <v>34</v>
      </c>
      <c r="D47" s="1">
        <f>(D45-D30)/D30*100</f>
        <v>0</v>
      </c>
    </row>
    <row r="48" spans="1:4" ht="85.5" x14ac:dyDescent="0.45">
      <c r="B48" s="3" t="s">
        <v>35</v>
      </c>
      <c r="D48" s="1">
        <f>(D46-D31)/D31*100</f>
        <v>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5</xdr:col>
                <xdr:colOff>0</xdr:colOff>
                <xdr:row>14</xdr:row>
                <xdr:rowOff>0</xdr:rowOff>
              </from>
              <to>
                <xdr:col>11</xdr:col>
                <xdr:colOff>47625</xdr:colOff>
                <xdr:row>14</xdr:row>
                <xdr:rowOff>885825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5</xdr:col>
                <xdr:colOff>0</xdr:colOff>
                <xdr:row>15</xdr:row>
                <xdr:rowOff>0</xdr:rowOff>
              </from>
              <to>
                <xdr:col>12</xdr:col>
                <xdr:colOff>123825</xdr:colOff>
                <xdr:row>15</xdr:row>
                <xdr:rowOff>895350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9" r:id="rId8">
          <objectPr defaultSize="0" autoPict="0" r:id="rId9">
            <anchor moveWithCells="1">
              <from>
                <xdr:col>5</xdr:col>
                <xdr:colOff>19050</xdr:colOff>
                <xdr:row>15</xdr:row>
                <xdr:rowOff>1066800</xdr:rowOff>
              </from>
              <to>
                <xdr:col>7</xdr:col>
                <xdr:colOff>219075</xdr:colOff>
                <xdr:row>16</xdr:row>
                <xdr:rowOff>714375</xdr:rowOff>
              </to>
            </anchor>
          </objectPr>
        </oleObject>
      </mc:Choice>
      <mc:Fallback>
        <oleObject progId="Equation.3" shapeId="1029" r:id="rId8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11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7</xdr:col>
                <xdr:colOff>133350</xdr:colOff>
                <xdr:row>18</xdr:row>
                <xdr:rowOff>19050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2">
          <objectPr defaultSize="0" autoPict="0" r:id="rId13">
            <anchor moveWithCells="1">
              <from>
                <xdr:col>5</xdr:col>
                <xdr:colOff>19050</xdr:colOff>
                <xdr:row>19</xdr:row>
                <xdr:rowOff>19050</xdr:rowOff>
              </from>
              <to>
                <xdr:col>11</xdr:col>
                <xdr:colOff>247650</xdr:colOff>
                <xdr:row>19</xdr:row>
                <xdr:rowOff>752475</xdr:rowOff>
              </to>
            </anchor>
          </objectPr>
        </oleObject>
      </mc:Choice>
      <mc:Fallback>
        <oleObject progId="Equation.3" shapeId="1031" r:id="rId12"/>
      </mc:Fallback>
    </mc:AlternateContent>
    <mc:AlternateContent xmlns:mc="http://schemas.openxmlformats.org/markup-compatibility/2006">
      <mc:Choice Requires="x14">
        <oleObject progId="Equation.3" shapeId="1032" r:id="rId14">
          <objectPr defaultSize="0" autoPict="0" r:id="rId15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8</xdr:col>
                <xdr:colOff>561975</xdr:colOff>
                <xdr:row>21</xdr:row>
                <xdr:rowOff>0</xdr:rowOff>
              </to>
            </anchor>
          </objectPr>
        </oleObject>
      </mc:Choice>
      <mc:Fallback>
        <oleObject progId="Equation.3" shapeId="1032" r:id="rId14"/>
      </mc:Fallback>
    </mc:AlternateContent>
    <mc:AlternateContent xmlns:mc="http://schemas.openxmlformats.org/markup-compatibility/2006">
      <mc:Choice Requires="x14">
        <oleObject progId="Equation.3" shapeId="1033" r:id="rId16">
          <objectPr defaultSize="0" autoPict="0" r:id="rId17">
            <anchor moveWithCells="1">
              <from>
                <xdr:col>4</xdr:col>
                <xdr:colOff>752475</xdr:colOff>
                <xdr:row>29</xdr:row>
                <xdr:rowOff>0</xdr:rowOff>
              </from>
              <to>
                <xdr:col>19</xdr:col>
                <xdr:colOff>171450</xdr:colOff>
                <xdr:row>29</xdr:row>
                <xdr:rowOff>933450</xdr:rowOff>
              </to>
            </anchor>
          </objectPr>
        </oleObject>
      </mc:Choice>
      <mc:Fallback>
        <oleObject progId="Equation.3" shapeId="1033" r:id="rId16"/>
      </mc:Fallback>
    </mc:AlternateContent>
    <mc:AlternateContent xmlns:mc="http://schemas.openxmlformats.org/markup-compatibility/2006">
      <mc:Choice Requires="x14">
        <oleObject progId="Equation.3" shapeId="1034" r:id="rId18">
          <objectPr defaultSize="0" autoPict="0" r:id="rId19">
            <anchor moveWithCells="1">
              <from>
                <xdr:col>4</xdr:col>
                <xdr:colOff>752475</xdr:colOff>
                <xdr:row>30</xdr:row>
                <xdr:rowOff>19050</xdr:rowOff>
              </from>
              <to>
                <xdr:col>19</xdr:col>
                <xdr:colOff>171450</xdr:colOff>
                <xdr:row>30</xdr:row>
                <xdr:rowOff>971550</xdr:rowOff>
              </to>
            </anchor>
          </objectPr>
        </oleObject>
      </mc:Choice>
      <mc:Fallback>
        <oleObject progId="Equation.3" shapeId="1034" r:id="rId18"/>
      </mc:Fallback>
    </mc:AlternateContent>
    <mc:AlternateContent xmlns:mc="http://schemas.openxmlformats.org/markup-compatibility/2006">
      <mc:Choice Requires="x14">
        <oleObject progId="Equation.3" shapeId="1035" r:id="rId20">
          <objectPr defaultSize="0" autoPict="0" r:id="rId21">
            <anchor moveWithCells="1">
              <from>
                <xdr:col>4</xdr:col>
                <xdr:colOff>723900</xdr:colOff>
                <xdr:row>33</xdr:row>
                <xdr:rowOff>38100</xdr:rowOff>
              </from>
              <to>
                <xdr:col>21</xdr:col>
                <xdr:colOff>495300</xdr:colOff>
                <xdr:row>33</xdr:row>
                <xdr:rowOff>1238250</xdr:rowOff>
              </to>
            </anchor>
          </objectPr>
        </oleObject>
      </mc:Choice>
      <mc:Fallback>
        <oleObject progId="Equation.3" shapeId="1035" r:id="rId20"/>
      </mc:Fallback>
    </mc:AlternateContent>
    <mc:AlternateContent xmlns:mc="http://schemas.openxmlformats.org/markup-compatibility/2006">
      <mc:Choice Requires="x14">
        <oleObject progId="Equation.3" shapeId="1036" r:id="rId22">
          <objectPr defaultSize="0" autoPict="0" r:id="rId23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9</xdr:col>
                <xdr:colOff>400050</xdr:colOff>
                <xdr:row>35</xdr:row>
                <xdr:rowOff>0</xdr:rowOff>
              </to>
            </anchor>
          </objectPr>
        </oleObject>
      </mc:Choice>
      <mc:Fallback>
        <oleObject progId="Equation.3" shapeId="1036" r:id="rId22"/>
      </mc:Fallback>
    </mc:AlternateContent>
    <mc:AlternateContent xmlns:mc="http://schemas.openxmlformats.org/markup-compatibility/2006">
      <mc:Choice Requires="x14">
        <oleObject progId="Equation.3" shapeId="1037" r:id="rId24">
          <objectPr defaultSize="0" autoPict="0" r:id="rId25">
            <anchor moveWithCells="1">
              <from>
                <xdr:col>4</xdr:col>
                <xdr:colOff>781050</xdr:colOff>
                <xdr:row>35</xdr:row>
                <xdr:rowOff>0</xdr:rowOff>
              </from>
              <to>
                <xdr:col>13</xdr:col>
                <xdr:colOff>400050</xdr:colOff>
                <xdr:row>35</xdr:row>
                <xdr:rowOff>857250</xdr:rowOff>
              </to>
            </anchor>
          </objectPr>
        </oleObject>
      </mc:Choice>
      <mc:Fallback>
        <oleObject progId="Equation.3" shapeId="1037" r:id="rId24"/>
      </mc:Fallback>
    </mc:AlternateContent>
    <mc:AlternateContent xmlns:mc="http://schemas.openxmlformats.org/markup-compatibility/2006">
      <mc:Choice Requires="x14">
        <oleObject progId="Equation.3" shapeId="1038" r:id="rId26">
          <objectPr defaultSize="0" autoPict="0" r:id="rId27">
            <anchor moveWithCells="1">
              <from>
                <xdr:col>5</xdr:col>
                <xdr:colOff>0</xdr:colOff>
                <xdr:row>35</xdr:row>
                <xdr:rowOff>1076325</xdr:rowOff>
              </from>
              <to>
                <xdr:col>15</xdr:col>
                <xdr:colOff>466725</xdr:colOff>
                <xdr:row>36</xdr:row>
                <xdr:rowOff>809625</xdr:rowOff>
              </to>
            </anchor>
          </objectPr>
        </oleObject>
      </mc:Choice>
      <mc:Fallback>
        <oleObject progId="Equation.3" shapeId="1038" r:id="rId26"/>
      </mc:Fallback>
    </mc:AlternateContent>
    <mc:AlternateContent xmlns:mc="http://schemas.openxmlformats.org/markup-compatibility/2006">
      <mc:Choice Requires="x14">
        <oleObject progId="Equation.3" shapeId="1039" r:id="rId28">
          <objectPr defaultSize="0" autoPict="0" r:id="rId29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12</xdr:col>
                <xdr:colOff>561975</xdr:colOff>
                <xdr:row>39</xdr:row>
                <xdr:rowOff>857250</xdr:rowOff>
              </to>
            </anchor>
          </objectPr>
        </oleObject>
      </mc:Choice>
      <mc:Fallback>
        <oleObject progId="Equation.3" shapeId="1039" r:id="rId28"/>
      </mc:Fallback>
    </mc:AlternateContent>
    <mc:AlternateContent xmlns:mc="http://schemas.openxmlformats.org/markup-compatibility/2006">
      <mc:Choice Requires="x14">
        <oleObject progId="Equation.3" shapeId="1040" r:id="rId30">
          <objectPr defaultSize="0" autoPict="0" r:id="rId31">
            <anchor moveWithCells="1">
              <from>
                <xdr:col>5</xdr:col>
                <xdr:colOff>0</xdr:colOff>
                <xdr:row>40</xdr:row>
                <xdr:rowOff>0</xdr:rowOff>
              </from>
              <to>
                <xdr:col>12</xdr:col>
                <xdr:colOff>180975</xdr:colOff>
                <xdr:row>40</xdr:row>
                <xdr:rowOff>923925</xdr:rowOff>
              </to>
            </anchor>
          </objectPr>
        </oleObject>
      </mc:Choice>
      <mc:Fallback>
        <oleObject progId="Equation.3" shapeId="1040" r:id="rId30"/>
      </mc:Fallback>
    </mc:AlternateContent>
    <mc:AlternateContent xmlns:mc="http://schemas.openxmlformats.org/markup-compatibility/2006">
      <mc:Choice Requires="x14">
        <oleObject progId="Equation.3" shapeId="1042" r:id="rId32">
          <objectPr defaultSize="0" autoPict="0" r:id="rId33">
            <anchor moveWithCells="1">
              <from>
                <xdr:col>4</xdr:col>
                <xdr:colOff>781050</xdr:colOff>
                <xdr:row>43</xdr:row>
                <xdr:rowOff>0</xdr:rowOff>
              </from>
              <to>
                <xdr:col>14</xdr:col>
                <xdr:colOff>161925</xdr:colOff>
                <xdr:row>44</xdr:row>
                <xdr:rowOff>0</xdr:rowOff>
              </to>
            </anchor>
          </objectPr>
        </oleObject>
      </mc:Choice>
      <mc:Fallback>
        <oleObject progId="Equation.3" shapeId="1042" r:id="rId32"/>
      </mc:Fallback>
    </mc:AlternateContent>
    <mc:AlternateContent xmlns:mc="http://schemas.openxmlformats.org/markup-compatibility/2006">
      <mc:Choice Requires="x14">
        <oleObject progId="Equation.3" shapeId="1043" r:id="rId34">
          <objectPr defaultSize="0" autoPict="0" r:id="rId29">
            <anchor moveWithCells="1">
              <from>
                <xdr:col>5</xdr:col>
                <xdr:colOff>0</xdr:colOff>
                <xdr:row>46</xdr:row>
                <xdr:rowOff>0</xdr:rowOff>
              </from>
              <to>
                <xdr:col>12</xdr:col>
                <xdr:colOff>561975</xdr:colOff>
                <xdr:row>46</xdr:row>
                <xdr:rowOff>857250</xdr:rowOff>
              </to>
            </anchor>
          </objectPr>
        </oleObject>
      </mc:Choice>
      <mc:Fallback>
        <oleObject progId="Equation.3" shapeId="1043" r:id="rId34"/>
      </mc:Fallback>
    </mc:AlternateContent>
    <mc:AlternateContent xmlns:mc="http://schemas.openxmlformats.org/markup-compatibility/2006">
      <mc:Choice Requires="x14">
        <oleObject progId="Equation.3" shapeId="1044" r:id="rId35">
          <objectPr defaultSize="0" autoPict="0" r:id="rId31">
            <anchor moveWithCells="1">
              <from>
                <xdr:col>5</xdr:col>
                <xdr:colOff>0</xdr:colOff>
                <xdr:row>47</xdr:row>
                <xdr:rowOff>0</xdr:rowOff>
              </from>
              <to>
                <xdr:col>12</xdr:col>
                <xdr:colOff>180975</xdr:colOff>
                <xdr:row>47</xdr:row>
                <xdr:rowOff>923925</xdr:rowOff>
              </to>
            </anchor>
          </objectPr>
        </oleObject>
      </mc:Choice>
      <mc:Fallback>
        <oleObject progId="Equation.3" shapeId="1044" r:id="rId35"/>
      </mc:Fallback>
    </mc:AlternateContent>
    <mc:AlternateContent xmlns:mc="http://schemas.openxmlformats.org/markup-compatibility/2006">
      <mc:Choice Requires="x14">
        <oleObject progId="Equation.3" shapeId="1045" r:id="rId36">
          <objectPr defaultSize="0" autoPict="0" r:id="rId37">
            <anchor moveWithCells="1">
              <from>
                <xdr:col>4</xdr:col>
                <xdr:colOff>771525</xdr:colOff>
                <xdr:row>41</xdr:row>
                <xdr:rowOff>38100</xdr:rowOff>
              </from>
              <to>
                <xdr:col>21</xdr:col>
                <xdr:colOff>533400</xdr:colOff>
                <xdr:row>41</xdr:row>
                <xdr:rowOff>1238250</xdr:rowOff>
              </to>
            </anchor>
          </objectPr>
        </oleObject>
      </mc:Choice>
      <mc:Fallback>
        <oleObject progId="Equation.3" shapeId="1045" r:id="rId3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Analog Devices,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pminciu</dc:creator>
  <cp:lastModifiedBy>pminciu</cp:lastModifiedBy>
  <dcterms:created xsi:type="dcterms:W3CDTF">2014-01-22T21:34:19Z</dcterms:created>
  <dcterms:modified xsi:type="dcterms:W3CDTF">2014-05-02T12:02:28Z</dcterms:modified>
</cp:coreProperties>
</file>